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2 Informe agregados\INFORME ACREDITADO-E ISO\"/>
    </mc:Choice>
  </mc:AlternateContent>
  <xr:revisionPtr revIDLastSave="0" documentId="13_ncr:1_{0666828B-34BE-49E2-8413-A5C1F5C5A1F3}" xr6:coauthVersionLast="47" xr6:coauthVersionMax="47" xr10:uidLastSave="{00000000-0000-0000-0000-000000000000}"/>
  <bookViews>
    <workbookView xWindow="-120" yWindow="-120" windowWidth="29040" windowHeight="15720" tabRatio="598" activeTab="3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4" i="101" l="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H15" i="96" l="1"/>
  <c r="H14" i="96"/>
  <c r="L11" i="103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E37" i="96"/>
  <c r="C39" i="100" s="1"/>
  <c r="D14" i="96"/>
  <c r="E14" i="96" s="1"/>
  <c r="D15" i="96"/>
  <c r="I14" i="96"/>
  <c r="I16" i="96" s="1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C40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F16" i="96"/>
  <c r="E19" i="96" s="1"/>
  <c r="E15" i="96" l="1"/>
  <c r="E16" i="96" s="1"/>
  <c r="E59" i="96" s="1"/>
  <c r="Q36" i="92"/>
  <c r="Q23" i="98"/>
  <c r="I24" i="98" s="1"/>
  <c r="E26" i="98" s="1"/>
  <c r="D28" i="92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E28" i="92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F30" i="96"/>
  <c r="F27" i="103" s="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F263" i="101"/>
  <c r="F165" i="101"/>
  <c r="B263" i="101"/>
  <c r="G165" i="101"/>
  <c r="G249" i="101"/>
  <c r="Q42" i="92"/>
  <c r="F38" i="96"/>
  <c r="F35" i="103" s="1"/>
  <c r="F37" i="96"/>
  <c r="F34" i="103" s="1"/>
  <c r="F45" i="96"/>
  <c r="F42" i="96"/>
  <c r="F39" i="103" s="1"/>
  <c r="F41" i="96"/>
  <c r="F38" i="102" s="1"/>
  <c r="F43" i="96"/>
  <c r="F40" i="103" s="1"/>
  <c r="F44" i="96"/>
  <c r="F41" i="102" s="1"/>
  <c r="A179" i="101"/>
  <c r="F39" i="96"/>
  <c r="F36" i="103" s="1"/>
  <c r="A198" i="101"/>
  <c r="I198" i="101" s="1"/>
  <c r="F249" i="101"/>
  <c r="G235" i="101"/>
  <c r="E179" i="101"/>
  <c r="F40" i="96"/>
  <c r="F37" i="102" s="1"/>
  <c r="F235" i="101"/>
  <c r="E263" i="101"/>
  <c r="G221" i="101"/>
  <c r="E207" i="101"/>
  <c r="E235" i="101"/>
  <c r="A184" i="101"/>
  <c r="I184" i="101" s="1"/>
  <c r="E165" i="101"/>
  <c r="B249" i="101"/>
  <c r="B235" i="101"/>
  <c r="F179" i="101"/>
  <c r="F207" i="101"/>
  <c r="E193" i="101"/>
  <c r="B165" i="101"/>
  <c r="A207" i="101"/>
  <c r="A165" i="101"/>
  <c r="F193" i="101"/>
  <c r="F221" i="101"/>
  <c r="G207" i="101"/>
  <c r="G193" i="101"/>
  <c r="B193" i="101"/>
  <c r="A268" i="101"/>
  <c r="I268" i="101" s="1"/>
  <c r="A212" i="101"/>
  <c r="I212" i="101" s="1"/>
  <c r="E221" i="101"/>
  <c r="B221" i="101"/>
  <c r="A235" i="101"/>
  <c r="A249" i="101"/>
  <c r="E249" i="101"/>
  <c r="B207" i="101"/>
  <c r="A193" i="101"/>
  <c r="G263" i="101"/>
  <c r="G179" i="101"/>
  <c r="B179" i="101"/>
  <c r="A226" i="101"/>
  <c r="I226" i="101" s="1"/>
  <c r="A221" i="101"/>
  <c r="F32" i="96"/>
  <c r="F29" i="102" s="1"/>
  <c r="C34" i="100"/>
  <c r="E22" i="96"/>
  <c r="E23" i="96" s="1"/>
  <c r="E24" i="96" s="1"/>
  <c r="F24" i="96" s="1"/>
  <c r="C32" i="100"/>
  <c r="F35" i="96"/>
  <c r="B268" i="101"/>
  <c r="F31" i="96"/>
  <c r="C26" i="100"/>
  <c r="B128" i="101" s="1"/>
  <c r="B170" i="101"/>
  <c r="F33" i="96"/>
  <c r="F28" i="96"/>
  <c r="B212" i="101"/>
  <c r="F34" i="96"/>
  <c r="E61" i="96"/>
  <c r="B254" i="101"/>
  <c r="B240" i="101"/>
  <c r="B226" i="101"/>
  <c r="B184" i="101"/>
  <c r="F180" i="101" s="1"/>
  <c r="F36" i="96"/>
  <c r="B198" i="101"/>
  <c r="D31" i="100"/>
  <c r="B40" i="101"/>
  <c r="F14" i="96"/>
  <c r="F29" i="96"/>
  <c r="F24" i="100"/>
  <c r="E24" i="100"/>
  <c r="G24" i="100"/>
  <c r="H24" i="100"/>
  <c r="C24" i="100"/>
  <c r="Y25" i="98" l="1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F27" i="102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F35" i="102"/>
  <c r="F39" i="102"/>
  <c r="F34" i="102"/>
  <c r="F38" i="103"/>
  <c r="F41" i="103"/>
  <c r="F40" i="102"/>
  <c r="F36" i="102"/>
  <c r="F37" i="103"/>
  <c r="F29" i="103"/>
  <c r="C186" i="101"/>
  <c r="E186" i="101" s="1"/>
  <c r="F31" i="102"/>
  <c r="F31" i="103"/>
  <c r="F208" i="101"/>
  <c r="C214" i="101"/>
  <c r="E214" i="101" s="1"/>
  <c r="G28" i="96"/>
  <c r="F25" i="102"/>
  <c r="F25" i="103"/>
  <c r="I38" i="101"/>
  <c r="C42" i="101"/>
  <c r="E42" i="101" s="1"/>
  <c r="F30" i="103"/>
  <c r="F30" i="102"/>
  <c r="D32" i="100"/>
  <c r="B54" i="101"/>
  <c r="C172" i="101"/>
  <c r="E172" i="101" s="1"/>
  <c r="F166" i="101"/>
  <c r="F194" i="101"/>
  <c r="C200" i="101"/>
  <c r="E200" i="101" s="1"/>
  <c r="B114" i="101"/>
  <c r="B100" i="101"/>
  <c r="B86" i="101"/>
  <c r="B58" i="101"/>
  <c r="B72" i="101"/>
  <c r="B44" i="101"/>
  <c r="B156" i="101"/>
  <c r="F33" i="102"/>
  <c r="F33" i="103"/>
  <c r="F28" i="103"/>
  <c r="F28" i="102"/>
  <c r="B142" i="101"/>
  <c r="C144" i="101" s="1"/>
  <c r="E144" i="101" s="1"/>
  <c r="C270" i="101"/>
  <c r="E270" i="101" s="1"/>
  <c r="F264" i="101"/>
  <c r="F26" i="103"/>
  <c r="F26" i="102"/>
  <c r="F222" i="101"/>
  <c r="C228" i="101"/>
  <c r="E228" i="101" s="1"/>
  <c r="F32" i="103"/>
  <c r="F32" i="102"/>
  <c r="C242" i="101"/>
  <c r="E242" i="101" s="1"/>
  <c r="F236" i="101"/>
  <c r="C256" i="101"/>
  <c r="E256" i="101" s="1"/>
  <c r="F250" i="101"/>
  <c r="F124" i="101"/>
  <c r="C130" i="101"/>
  <c r="E130" i="101" s="1"/>
  <c r="D26" i="100"/>
  <c r="D27" i="100"/>
  <c r="E30" i="100"/>
  <c r="C41" i="101" s="1"/>
  <c r="E41" i="101" s="1"/>
  <c r="E31" i="100"/>
  <c r="C55" i="101" s="1"/>
  <c r="E55" i="101" s="1"/>
  <c r="Z25" i="98" l="1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F138" i="101"/>
  <c r="B52" i="101"/>
  <c r="C56" i="101"/>
  <c r="E56" i="101" s="1"/>
  <c r="E54" i="101" s="1"/>
  <c r="F58" i="101"/>
  <c r="I52" i="101"/>
  <c r="C158" i="101"/>
  <c r="E158" i="101" s="1"/>
  <c r="F152" i="101"/>
  <c r="D33" i="100"/>
  <c r="B68" i="101"/>
  <c r="C46" i="101"/>
  <c r="E46" i="101" s="1"/>
  <c r="F40" i="101"/>
  <c r="B38" i="101"/>
  <c r="F44" i="101"/>
  <c r="F68" i="101"/>
  <c r="C74" i="101"/>
  <c r="E74" i="101" s="1"/>
  <c r="E32" i="100"/>
  <c r="C69" i="101" s="1"/>
  <c r="E69" i="101" s="1"/>
  <c r="C60" i="101"/>
  <c r="E60" i="101" s="1"/>
  <c r="F54" i="101"/>
  <c r="C88" i="101"/>
  <c r="E88" i="101" s="1"/>
  <c r="F82" i="101"/>
  <c r="E40" i="101"/>
  <c r="C102" i="101"/>
  <c r="E102" i="101" s="1"/>
  <c r="F96" i="101"/>
  <c r="F110" i="101"/>
  <c r="C116" i="101"/>
  <c r="E116" i="101" s="1"/>
  <c r="G29" i="96"/>
  <c r="G25" i="102"/>
  <c r="N28" i="96"/>
  <c r="H28" i="96"/>
  <c r="G25" i="103"/>
  <c r="C45" i="101"/>
  <c r="E45" i="101" s="1"/>
  <c r="C269" i="101"/>
  <c r="E269" i="101" s="1"/>
  <c r="E268" i="101" s="1"/>
  <c r="C59" i="101"/>
  <c r="E59" i="101" s="1"/>
  <c r="C241" i="101"/>
  <c r="E241" i="101" s="1"/>
  <c r="E240" i="101" s="1"/>
  <c r="C199" i="101"/>
  <c r="E199" i="101" s="1"/>
  <c r="E198" i="101" s="1"/>
  <c r="C185" i="101"/>
  <c r="E185" i="101" s="1"/>
  <c r="E184" i="101" s="1"/>
  <c r="C227" i="101"/>
  <c r="E227" i="101" s="1"/>
  <c r="E226" i="101" s="1"/>
  <c r="C213" i="101"/>
  <c r="E213" i="101" s="1"/>
  <c r="E212" i="101" s="1"/>
  <c r="C73" i="101"/>
  <c r="E73" i="101" s="1"/>
  <c r="C171" i="101"/>
  <c r="E171" i="101" s="1"/>
  <c r="E170" i="101" s="1"/>
  <c r="C157" i="101"/>
  <c r="E157" i="101" s="1"/>
  <c r="C101" i="101"/>
  <c r="E101" i="101" s="1"/>
  <c r="C129" i="101"/>
  <c r="E129" i="101" s="1"/>
  <c r="E128" i="101" s="1"/>
  <c r="C255" i="101"/>
  <c r="E255" i="101" s="1"/>
  <c r="E254" i="101" s="1"/>
  <c r="C115" i="101"/>
  <c r="E115" i="101" s="1"/>
  <c r="C87" i="101"/>
  <c r="E87" i="101" s="1"/>
  <c r="C143" i="101"/>
  <c r="E143" i="101" s="1"/>
  <c r="E142" i="101" s="1"/>
  <c r="AA25" i="98" l="1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E114" i="101"/>
  <c r="E44" i="101"/>
  <c r="G44" i="101" s="1"/>
  <c r="J44" i="101" s="1"/>
  <c r="E100" i="101"/>
  <c r="E156" i="101"/>
  <c r="G54" i="101"/>
  <c r="J56" i="101" s="1"/>
  <c r="E58" i="101"/>
  <c r="G58" i="101" s="1"/>
  <c r="J58" i="101" s="1"/>
  <c r="O28" i="96"/>
  <c r="P28" i="96" s="1"/>
  <c r="G30" i="96"/>
  <c r="N29" i="96"/>
  <c r="O29" i="96" s="1"/>
  <c r="H29" i="96"/>
  <c r="G26" i="103"/>
  <c r="G26" i="102"/>
  <c r="E72" i="101"/>
  <c r="G40" i="101"/>
  <c r="J42" i="101" s="1"/>
  <c r="I66" i="101"/>
  <c r="B66" i="101"/>
  <c r="C70" i="101"/>
  <c r="E70" i="101" s="1"/>
  <c r="E68" i="101" s="1"/>
  <c r="G68" i="101" s="1"/>
  <c r="J70" i="101" s="1"/>
  <c r="F72" i="101"/>
  <c r="E33" i="100"/>
  <c r="C83" i="101" s="1"/>
  <c r="E83" i="101" s="1"/>
  <c r="D34" i="100"/>
  <c r="B82" i="101"/>
  <c r="E86" i="101"/>
  <c r="AC25" i="102"/>
  <c r="H25" i="102" s="1"/>
  <c r="AB25" i="103"/>
  <c r="H25" i="103" s="1"/>
  <c r="S28" i="96"/>
  <c r="T28" i="96" s="1"/>
  <c r="S30" i="92" l="1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H52" i="101"/>
  <c r="E34" i="100"/>
  <c r="C97" i="101" s="1"/>
  <c r="E97" i="101" s="1"/>
  <c r="D35" i="100"/>
  <c r="B96" i="101"/>
  <c r="G72" i="101"/>
  <c r="J72" i="101" s="1"/>
  <c r="H38" i="101"/>
  <c r="AC26" i="102"/>
  <c r="H26" i="102" s="1"/>
  <c r="S29" i="96"/>
  <c r="T29" i="96" s="1"/>
  <c r="AB26" i="103"/>
  <c r="H26" i="103" s="1"/>
  <c r="I80" i="101"/>
  <c r="C84" i="101"/>
  <c r="E84" i="101" s="1"/>
  <c r="E82" i="101" s="1"/>
  <c r="G82" i="101" s="1"/>
  <c r="F86" i="101"/>
  <c r="G86" i="101" s="1"/>
  <c r="J86" i="101" s="1"/>
  <c r="B80" i="101"/>
  <c r="G27" i="102"/>
  <c r="G31" i="96"/>
  <c r="H30" i="96"/>
  <c r="G27" i="103"/>
  <c r="N30" i="96"/>
  <c r="O30" i="96" s="1"/>
  <c r="P29" i="96"/>
  <c r="F30" i="98" l="1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H66" i="101"/>
  <c r="H31" i="96"/>
  <c r="G28" i="102"/>
  <c r="G32" i="96"/>
  <c r="G28" i="103"/>
  <c r="N31" i="96"/>
  <c r="C98" i="101"/>
  <c r="E98" i="101" s="1"/>
  <c r="E96" i="101" s="1"/>
  <c r="G96" i="101" s="1"/>
  <c r="F100" i="101"/>
  <c r="G100" i="101" s="1"/>
  <c r="J100" i="101" s="1"/>
  <c r="I94" i="101"/>
  <c r="B94" i="101"/>
  <c r="AB27" i="103"/>
  <c r="H27" i="103" s="1"/>
  <c r="S30" i="96"/>
  <c r="T30" i="96" s="1"/>
  <c r="AC27" i="102"/>
  <c r="H27" i="102" s="1"/>
  <c r="P30" i="96"/>
  <c r="E35" i="100"/>
  <c r="C111" i="101" s="1"/>
  <c r="E111" i="101" s="1"/>
  <c r="D36" i="100"/>
  <c r="B110" i="101"/>
  <c r="J84" i="101"/>
  <c r="H80" i="101"/>
  <c r="J27" i="98" l="1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O31" i="96"/>
  <c r="P31" i="96" s="1"/>
  <c r="J98" i="101"/>
  <c r="H94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H32" i="96"/>
  <c r="G29" i="103"/>
  <c r="G29" i="102"/>
  <c r="N32" i="96"/>
  <c r="O32" i="96" s="1"/>
  <c r="G33" i="96"/>
  <c r="AB28" i="103"/>
  <c r="H28" i="103" s="1"/>
  <c r="S31" i="96"/>
  <c r="T31" i="96" s="1"/>
  <c r="AC28" i="102"/>
  <c r="H28" i="102" s="1"/>
  <c r="Y29" i="98" l="1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P32" i="96"/>
  <c r="B122" i="101"/>
  <c r="I122" i="101"/>
  <c r="C126" i="101"/>
  <c r="E126" i="101" s="1"/>
  <c r="E124" i="101" s="1"/>
  <c r="G124" i="101" s="1"/>
  <c r="F128" i="101"/>
  <c r="G128" i="101" s="1"/>
  <c r="J128" i="101" s="1"/>
  <c r="AB29" i="103"/>
  <c r="H29" i="103" s="1"/>
  <c r="S32" i="96"/>
  <c r="T32" i="96" s="1"/>
  <c r="AC29" i="102"/>
  <c r="H29" i="102" s="1"/>
  <c r="H108" i="101"/>
  <c r="J112" i="101"/>
  <c r="B138" i="101"/>
  <c r="E37" i="100"/>
  <c r="C139" i="101" s="1"/>
  <c r="E139" i="101" s="1"/>
  <c r="D38" i="100"/>
  <c r="N33" i="96"/>
  <c r="H33" i="96"/>
  <c r="G34" i="96"/>
  <c r="G30" i="102"/>
  <c r="G30" i="103"/>
  <c r="F32" i="98" l="1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O33" i="96"/>
  <c r="P33" i="96" s="1"/>
  <c r="H122" i="101"/>
  <c r="J126" i="101"/>
  <c r="G31" i="103"/>
  <c r="G35" i="96"/>
  <c r="G31" i="102"/>
  <c r="H34" i="96"/>
  <c r="N34" i="96"/>
  <c r="O34" i="96" s="1"/>
  <c r="AC30" i="102"/>
  <c r="H30" i="102" s="1"/>
  <c r="S33" i="96"/>
  <c r="T33" i="96" s="1"/>
  <c r="AB30" i="103"/>
  <c r="H30" i="103" s="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Z29" i="98" l="1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P34" i="96"/>
  <c r="G36" i="96"/>
  <c r="H35" i="96"/>
  <c r="G32" i="103"/>
  <c r="N35" i="96"/>
  <c r="O35" i="96" s="1"/>
  <c r="G32" i="102"/>
  <c r="J140" i="101"/>
  <c r="H136" i="101"/>
  <c r="D40" i="100"/>
  <c r="B166" i="10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AB31" i="103"/>
  <c r="H31" i="103" s="1"/>
  <c r="S34" i="96"/>
  <c r="T34" i="96" s="1"/>
  <c r="AC31" i="102"/>
  <c r="H31" i="102" s="1"/>
  <c r="AA29" i="98" l="1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P35" i="96"/>
  <c r="B180" i="101"/>
  <c r="D41" i="100"/>
  <c r="E40" i="100"/>
  <c r="C181" i="101" s="1"/>
  <c r="E181" i="101" s="1"/>
  <c r="S35" i="96"/>
  <c r="T35" i="96" s="1"/>
  <c r="AC32" i="102"/>
  <c r="H32" i="102" s="1"/>
  <c r="AB32" i="103"/>
  <c r="H32" i="103" s="1"/>
  <c r="N36" i="96"/>
  <c r="O36" i="96" s="1"/>
  <c r="G33" i="103"/>
  <c r="G37" i="96"/>
  <c r="I22" i="96"/>
  <c r="H36" i="96"/>
  <c r="G33" i="102"/>
  <c r="B164" i="101"/>
  <c r="C168" i="101"/>
  <c r="E168" i="101" s="1"/>
  <c r="E166" i="101" s="1"/>
  <c r="G166" i="101" s="1"/>
  <c r="F170" i="101"/>
  <c r="G170" i="101" s="1"/>
  <c r="J170" i="101" s="1"/>
  <c r="H150" i="101"/>
  <c r="I150" i="101" s="1"/>
  <c r="J154" i="101"/>
  <c r="G34" i="98" l="1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P36" i="96"/>
  <c r="P38" i="96" s="1"/>
  <c r="H37" i="96"/>
  <c r="G34" i="102"/>
  <c r="G38" i="96"/>
  <c r="G34" i="103"/>
  <c r="H164" i="101"/>
  <c r="I164" i="101" s="1"/>
  <c r="J168" i="101"/>
  <c r="O27" i="103"/>
  <c r="P27" i="102"/>
  <c r="D42" i="100"/>
  <c r="B194" i="10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6" i="96"/>
  <c r="T36" i="96" s="1"/>
  <c r="T38" i="96" s="1"/>
  <c r="T39" i="96" s="1"/>
  <c r="I19" i="96" s="1"/>
  <c r="AC33" i="102"/>
  <c r="H33" i="102" s="1"/>
  <c r="AB33" i="103"/>
  <c r="H33" i="103" s="1"/>
  <c r="R36" i="95" l="1"/>
  <c r="S35" i="95"/>
  <c r="Z34" i="95"/>
  <c r="Z36" i="95" s="1"/>
  <c r="Z37" i="95" s="1"/>
  <c r="S22" i="95" s="1"/>
  <c r="R40" i="92"/>
  <c r="S39" i="92"/>
  <c r="K26" i="102"/>
  <c r="O26" i="103"/>
  <c r="O25" i="103"/>
  <c r="K25" i="102"/>
  <c r="E42" i="100"/>
  <c r="C209" i="101" s="1"/>
  <c r="E209" i="101" s="1"/>
  <c r="D43" i="100"/>
  <c r="B208" i="101"/>
  <c r="J182" i="101"/>
  <c r="J186" i="101" s="1"/>
  <c r="K182" i="101" s="1"/>
  <c r="H178" i="101"/>
  <c r="I178" i="101" s="1"/>
  <c r="G35" i="103"/>
  <c r="H38" i="96"/>
  <c r="G35" i="102"/>
  <c r="G39" i="96"/>
  <c r="AC34" i="102"/>
  <c r="H34" i="102" s="1"/>
  <c r="AB34" i="103"/>
  <c r="H34" i="103" s="1"/>
  <c r="F198" i="101"/>
  <c r="G198" i="101" s="1"/>
  <c r="J198" i="101" s="1"/>
  <c r="B192" i="101"/>
  <c r="C196" i="101"/>
  <c r="E196" i="101" s="1"/>
  <c r="E194" i="101" s="1"/>
  <c r="G194" i="101" s="1"/>
  <c r="S40" i="92" l="1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G36" i="102"/>
  <c r="H39" i="96"/>
  <c r="G36" i="103"/>
  <c r="G40" i="96"/>
  <c r="AB35" i="103"/>
  <c r="H35" i="103" s="1"/>
  <c r="AC35" i="102"/>
  <c r="H35" i="102" s="1"/>
  <c r="S37" i="95" l="1"/>
  <c r="R38" i="95"/>
  <c r="R42" i="92"/>
  <c r="S41" i="92"/>
  <c r="AC36" i="102"/>
  <c r="H36" i="102" s="1"/>
  <c r="AB36" i="103"/>
  <c r="H36" i="103" s="1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E44" i="100"/>
  <c r="C237" i="101" s="1"/>
  <c r="E237" i="101" s="1"/>
  <c r="D45" i="100"/>
  <c r="G41" i="96"/>
  <c r="H40" i="96"/>
  <c r="G37" i="102"/>
  <c r="G37" i="103"/>
  <c r="J200" i="101"/>
  <c r="K196" i="101" s="1"/>
  <c r="S42" i="92" l="1"/>
  <c r="R43" i="92"/>
  <c r="I29" i="92" s="1"/>
  <c r="R39" i="95"/>
  <c r="S38" i="95"/>
  <c r="K210" i="101"/>
  <c r="K212" i="101"/>
  <c r="K213" i="101"/>
  <c r="B250" i="10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G42" i="96"/>
  <c r="H41" i="96"/>
  <c r="G38" i="103"/>
  <c r="G38" i="102"/>
  <c r="J224" i="101"/>
  <c r="H220" i="101"/>
  <c r="I220" i="101" s="1"/>
  <c r="AC37" i="102"/>
  <c r="H37" i="102" s="1"/>
  <c r="AB37" i="103"/>
  <c r="H37" i="103" s="1"/>
  <c r="R40" i="95" l="1"/>
  <c r="S39" i="95"/>
  <c r="R44" i="92"/>
  <c r="S43" i="92"/>
  <c r="H234" i="101"/>
  <c r="I234" i="101" s="1"/>
  <c r="J238" i="101"/>
  <c r="H42" i="96"/>
  <c r="G39" i="103"/>
  <c r="G39" i="102"/>
  <c r="G43" i="96"/>
  <c r="B264" i="101"/>
  <c r="E46" i="100"/>
  <c r="C265" i="101" s="1"/>
  <c r="E265" i="101" s="1"/>
  <c r="J228" i="101"/>
  <c r="K224" i="101" s="1"/>
  <c r="AC38" i="102"/>
  <c r="H38" i="102" s="1"/>
  <c r="AB38" i="103"/>
  <c r="H38" i="103" s="1"/>
  <c r="B248" i="101"/>
  <c r="F254" i="101"/>
  <c r="G254" i="101" s="1"/>
  <c r="J254" i="101" s="1"/>
  <c r="C252" i="101"/>
  <c r="E252" i="101" s="1"/>
  <c r="E250" i="101" s="1"/>
  <c r="G250" i="101" s="1"/>
  <c r="R45" i="92" l="1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AB39" i="103"/>
  <c r="H39" i="103" s="1"/>
  <c r="AC39" i="102"/>
  <c r="H39" i="102" s="1"/>
  <c r="J242" i="101"/>
  <c r="K238" i="101" s="1"/>
  <c r="K225" i="101"/>
  <c r="K227" i="101"/>
  <c r="K226" i="101"/>
  <c r="H43" i="96"/>
  <c r="G44" i="96"/>
  <c r="G40" i="103"/>
  <c r="G40" i="102"/>
  <c r="I21" i="96"/>
  <c r="R42" i="95" l="1"/>
  <c r="S41" i="95"/>
  <c r="J266" i="101"/>
  <c r="H262" i="101"/>
  <c r="I262" i="101" s="1"/>
  <c r="K239" i="101"/>
  <c r="K241" i="101"/>
  <c r="K240" i="101"/>
  <c r="J256" i="101"/>
  <c r="K252" i="101" s="1"/>
  <c r="G41" i="102"/>
  <c r="G41" i="103"/>
  <c r="H44" i="96"/>
  <c r="K27" i="102"/>
  <c r="K25" i="103"/>
  <c r="AC40" i="102"/>
  <c r="H40" i="102" s="1"/>
  <c r="AB40" i="103"/>
  <c r="H40" i="103" s="1"/>
  <c r="R43" i="95" l="1"/>
  <c r="S42" i="95"/>
  <c r="AC41" i="102"/>
  <c r="H41" i="102" s="1"/>
  <c r="I24" i="96"/>
  <c r="AB41" i="103"/>
  <c r="H41" i="103" s="1"/>
  <c r="G45" i="96"/>
  <c r="K253" i="101"/>
  <c r="K255" i="101"/>
  <c r="K254" i="101"/>
  <c r="J270" i="101"/>
  <c r="K266" i="101" s="1"/>
  <c r="K269" i="101" l="1"/>
  <c r="K267" i="101"/>
  <c r="K268" i="101"/>
  <c r="P29" i="102"/>
  <c r="O29" i="103"/>
  <c r="I23" i="96"/>
  <c r="O28" i="103" l="1"/>
  <c r="P28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<sst xmlns="http://schemas.openxmlformats.org/spreadsheetml/2006/main" count="1205" uniqueCount="475">
  <si>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</si>
  <si>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</si>
  <si>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</si>
  <si>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</si>
  <si>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</si>
  <si>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</si>
  <si>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</si>
  <si>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</si>
  <si>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</si>
  <si>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</si>
  <si>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</si>
  <si>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</si>
  <si>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</si>
  <si>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</si>
  <si>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</si>
  <si>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</si>
  <si>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</si>
  <si>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</si>
  <si>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</si>
  <si>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</si>
  <si>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</si>
  <si>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</si>
  <si>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</si>
  <si>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</si>
  <si>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</si>
  <si>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</si>
  <si>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</si>
  <si>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</si>
  <si>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</si>
  <si>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</si>
  <si>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</si>
  <si>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</si>
  <si>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</si>
  <si>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</si>
  <si>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</si>
  <si>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</si>
  <si>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</si>
  <si>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</si>
  <si>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</si>
  <si>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</si>
  <si>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</si>
  <si>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</si>
  <si>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</si>
  <si>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</si>
  <si>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</si>
  <si>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</si>
  <si>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</si>
  <si>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</si>
  <si>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</si>
  <si>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</si>
  <si>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</si>
  <si>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</si>
  <si>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</si>
  <si>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</si>
  <si>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</si>
  <si>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</si>
  <si>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</si>
  <si>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</si>
  <si>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</si>
  <si>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</si>
  <si>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</si>
  <si>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</si>
  <si>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</si>
  <si>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</si>
  <si>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</si>
  <si>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</si>
  <si>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</si>
  <si>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</si>
  <si>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</si>
  <si>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</si>
  <si>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</si>
  <si>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</si>
  <si>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</si>
  <si>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</si>
  <si>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</si>
  <si>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</si>
  <si>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</si>
  <si>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</si>
  <si>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</si>
  <si>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</si>
  <si>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</si>
  <si>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</si>
  <si>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</si>
  <si>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</si>
  <si>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</si>
  <si>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</si>
  <si>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</si>
  <si>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</si>
  <si>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</si>
  <si>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</si>
  <si>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</si>
  <si>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</si>
  <si>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</si>
  <si>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</si>
  <si>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</si>
  <si>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</si>
  <si>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</si>
  <si>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</si>
  <si>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</si>
  <si>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</si>
  <si>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</si>
  <si>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</si>
  <si>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</si>
  <si>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</si>
  <si>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</si>
  <si>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</si>
  <si>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</si>
  <si>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</si>
  <si>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</si>
  <si>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</si>
  <si>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</si>
  <si>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</si>
  <si>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</si>
  <si>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</si>
  <si>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</si>
  <si>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</si>
  <si>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</si>
  <si>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</si>
  <si>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</si>
  <si>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</si>
  <si>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</si>
  <si>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</si>
  <si>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</si>
  <si>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</si>
  <si>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</si>
  <si>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</si>
  <si>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</si>
  <si>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</si>
  <si>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</si>
  <si>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</si>
  <si>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</si>
  <si>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</si>
  <si>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</si>
  <si>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</si>
  <si>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</si>
  <si>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</si>
  <si>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</si>
  <si>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</si>
  <si>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</si>
  <si>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</si>
  <si>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</si>
  <si>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</si>
  <si>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</si>
  <si>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</si>
  <si>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</si>
  <si>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</si>
  <si>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</si>
  <si>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</si>
  <si>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</si>
  <si>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</si>
  <si>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</si>
  <si>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</si>
  <si>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</si>
  <si>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</si>
  <si>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</si>
  <si>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</si>
  <si>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</si>
  <si>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</si>
  <si>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</si>
  <si>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</si>
  <si>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</si>
  <si>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</si>
  <si>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</si>
  <si>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</si>
  <si>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</si>
  <si>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</si>
  <si>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</si>
  <si>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</si>
  <si>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</si>
  <si>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</si>
  <si>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</si>
  <si>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</si>
  <si>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</si>
  <si>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</si>
  <si>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</si>
  <si>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</si>
  <si>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</si>
  <si>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</si>
  <si>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</si>
  <si>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0.1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</si>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</sst>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9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0" fontId="50" fillId="8" borderId="23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2" fillId="7" borderId="0" xfId="0" applyFont="1" applyFill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11" fontId="12" fillId="7" borderId="0" xfId="2" applyNumberFormat="1" applyFont="1" applyFill="1" applyBorder="1" applyAlignment="1">
      <alignment horizontal="center" vertical="center"/>
    </xf>
    <xf numFmtId="0" fontId="12" fillId="7" borderId="0" xfId="2" applyFont="1" applyFill="1" applyBorder="1" applyAlignment="1">
      <alignment horizontal="center" vertical="center"/>
    </xf>
    <xf numFmtId="11" fontId="12" fillId="7" borderId="0" xfId="0" applyNumberFormat="1" applyFont="1" applyFill="1" applyBorder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 applyProtection="1">
      <alignment horizontal="center"/>
      <protection hidden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9" fillId="0" borderId="22" xfId="2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181" fontId="16" fillId="0" borderId="0" xfId="0" applyNumberFormat="1" applyFont="1" applyAlignment="1" applyProtection="1">
      <alignment horizontal="center"/>
      <protection locked="0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 wrapText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210425"/>
          <a:ext cx="6791325" cy="245745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zoomScaleNormal="100" zoomScaleSheetLayoutView="100" workbookViewId="0">
      <selection activeCell="O22" sqref="O22"/>
    </sheetView>
  </sheetViews>
  <sheetFormatPr baseColWidth="10" defaultColWidth="10.28515625" defaultRowHeight="14.25" x14ac:dyDescent="0.2"/>
  <cols>
    <col min="1" max="1" width="17.42578125" style="200" customWidth="1"/>
    <col min="2" max="2" width="14.28515625" style="200" customWidth="1"/>
    <col min="3" max="3" width="2.5703125" style="200" customWidth="1"/>
    <col min="4" max="4" width="9.85546875" style="200" customWidth="1"/>
    <col min="5" max="5" width="6.28515625" style="200" customWidth="1"/>
    <col min="6" max="6" width="5" style="200" customWidth="1"/>
    <col min="7" max="7" width="12.5703125" style="200" customWidth="1"/>
    <col min="8" max="8" width="15.7109375" style="200" customWidth="1"/>
    <col min="9" max="9" width="15.140625" style="200" customWidth="1"/>
    <col min="10" max="10" width="6.42578125" style="200" customWidth="1"/>
    <col min="11" max="16384" width="10.28515625" style="200"/>
  </cols>
  <sheetData>
    <row r="1" spans="1:14" ht="9.75" customHeight="1" thickTop="1" x14ac:dyDescent="0.2">
      <c r="A1" s="727"/>
      <c r="B1" s="728"/>
      <c r="C1" s="729"/>
      <c r="D1" s="729"/>
      <c r="E1" s="729"/>
      <c r="F1" s="729"/>
      <c r="G1" s="729"/>
      <c r="H1" s="729"/>
      <c r="I1" s="730"/>
    </row>
    <row r="2" spans="1:14" ht="9.75" customHeight="1" x14ac:dyDescent="0.2">
      <c r="A2" s="731"/>
      <c r="B2" s="176"/>
      <c r="C2" s="177"/>
      <c r="D2" s="177"/>
      <c r="E2" s="177"/>
      <c r="F2" s="177"/>
      <c r="G2" s="177"/>
      <c r="H2" s="177"/>
      <c r="I2" s="732"/>
      <c r="L2" s="281" t="s">
        <v>106</v>
      </c>
      <c r="M2" s="776"/>
    </row>
    <row r="3" spans="1:14" ht="9.75" customHeight="1" x14ac:dyDescent="0.2">
      <c r="A3" s="731"/>
      <c r="B3" s="176"/>
      <c r="C3" s="177"/>
      <c r="D3" s="177"/>
      <c r="E3" s="177"/>
      <c r="F3" s="177"/>
      <c r="G3" s="177"/>
      <c r="H3" s="177"/>
      <c r="I3" s="732"/>
      <c r="L3" s="281" t="s">
        <v>300</v>
      </c>
      <c r="M3" s="777"/>
    </row>
    <row r="4" spans="1:14" ht="9.75" customHeight="1" x14ac:dyDescent="0.2">
      <c r="A4" s="731"/>
      <c r="B4" s="176"/>
      <c r="C4" s="177"/>
      <c r="D4" s="177"/>
      <c r="E4" s="177"/>
      <c r="F4" s="177"/>
      <c r="G4" s="177"/>
      <c r="H4" s="177"/>
      <c r="I4" s="732"/>
      <c r="L4" s="281" t="s">
        <v>109</v>
      </c>
      <c r="M4" s="777"/>
    </row>
    <row r="5" spans="1:14" ht="9.75" customHeight="1" thickBot="1" x14ac:dyDescent="0.25">
      <c r="A5" s="733"/>
      <c r="B5" s="734"/>
      <c r="C5" s="734"/>
      <c r="D5" s="734"/>
      <c r="E5" s="734"/>
      <c r="F5" s="734"/>
      <c r="G5" s="734"/>
      <c r="H5" s="734"/>
      <c r="I5" s="735"/>
      <c r="L5" s="281" t="s">
        <v>110</v>
      </c>
      <c r="M5" s="777"/>
    </row>
    <row r="6" spans="1:14" ht="6" customHeight="1" thickTop="1" x14ac:dyDescent="0.2">
      <c r="A6" s="736"/>
      <c r="B6" s="736"/>
      <c r="C6" s="736"/>
      <c r="D6" s="736"/>
      <c r="E6" s="736"/>
      <c r="F6" s="736"/>
      <c r="G6" s="736"/>
      <c r="H6" s="736"/>
      <c r="I6" s="736"/>
      <c r="L6" s="778"/>
      <c r="M6" s="779"/>
    </row>
    <row r="7" spans="1:14" ht="11.25" customHeight="1" x14ac:dyDescent="0.2">
      <c r="A7" s="831" t="s">
        <v>2</v>
      </c>
      <c r="B7" s="831"/>
      <c r="C7" s="831"/>
      <c r="D7" s="831"/>
      <c r="E7" s="831"/>
      <c r="F7" s="831"/>
      <c r="G7" s="831"/>
      <c r="H7" s="831"/>
      <c r="I7" s="831"/>
      <c r="L7" s="285" t="s">
        <v>447</v>
      </c>
      <c r="M7" s="779"/>
    </row>
    <row r="8" spans="1:14" ht="11.25" customHeight="1" x14ac:dyDescent="0.2">
      <c r="A8" s="832" t="s">
        <v>385</v>
      </c>
      <c r="B8" s="832"/>
      <c r="C8" s="832"/>
      <c r="D8" s="832"/>
      <c r="E8" s="832"/>
      <c r="F8" s="832"/>
      <c r="G8" s="832"/>
      <c r="H8" s="832"/>
      <c r="I8" s="832"/>
      <c r="L8" s="285" t="s">
        <v>448</v>
      </c>
      <c r="M8" s="780"/>
    </row>
    <row r="9" spans="1:14" ht="9.6" customHeight="1" x14ac:dyDescent="0.2">
      <c r="A9" s="726"/>
      <c r="B9" s="726"/>
      <c r="C9" s="726"/>
      <c r="D9" s="726"/>
      <c r="E9" s="726"/>
      <c r="F9" s="726"/>
      <c r="G9" s="726"/>
      <c r="H9" s="726"/>
      <c r="I9" s="726"/>
      <c r="L9" s="285" t="s">
        <v>449</v>
      </c>
      <c r="M9" s="779"/>
    </row>
    <row r="10" spans="1:14" ht="19.149999999999999" customHeight="1" x14ac:dyDescent="0.2">
      <c r="A10" s="726"/>
      <c r="B10" s="826" t="s">
        <v>386</v>
      </c>
      <c r="C10" s="826"/>
      <c r="D10" s="833" t="s">
        <v>387</v>
      </c>
      <c r="E10" s="834"/>
      <c r="F10" s="833" t="s">
        <v>388</v>
      </c>
      <c r="G10" s="834"/>
      <c r="H10" s="737" t="s">
        <v>389</v>
      </c>
      <c r="I10" s="726"/>
      <c r="L10" s="778"/>
      <c r="M10" s="779"/>
    </row>
    <row r="11" spans="1:14" ht="19.149999999999999" customHeight="1" x14ac:dyDescent="0.2">
      <c r="A11" s="726"/>
      <c r="B11" s="828"/>
      <c r="C11" s="828"/>
      <c r="D11" s="829"/>
      <c r="E11" s="830"/>
      <c r="F11" s="829"/>
      <c r="G11" s="830"/>
      <c r="H11" s="738"/>
      <c r="I11" s="726"/>
      <c r="L11" s="285" t="s">
        <v>450</v>
      </c>
      <c r="M11" s="779"/>
    </row>
    <row r="12" spans="1:14" ht="15" customHeight="1" x14ac:dyDescent="0.2">
      <c r="A12" s="726"/>
      <c r="B12" s="726"/>
      <c r="C12" s="726"/>
      <c r="D12" s="726"/>
      <c r="E12" s="726"/>
      <c r="F12" s="726"/>
      <c r="G12" s="726"/>
      <c r="H12" s="726"/>
      <c r="I12" s="726"/>
      <c r="L12" s="285" t="s">
        <v>451</v>
      </c>
      <c r="M12" s="780"/>
    </row>
    <row r="13" spans="1:14" ht="14.25" customHeight="1" x14ac:dyDescent="0.2">
      <c r="A13" s="818" t="s">
        <v>128</v>
      </c>
      <c r="B13" s="819"/>
      <c r="C13" s="819"/>
      <c r="D13" s="819"/>
      <c r="E13" s="819"/>
      <c r="F13" s="819"/>
      <c r="G13" s="819"/>
      <c r="H13" s="819"/>
      <c r="I13" s="820"/>
      <c r="J13" s="166"/>
      <c r="L13" s="285" t="s">
        <v>452</v>
      </c>
      <c r="M13" s="780"/>
      <c r="N13"/>
    </row>
    <row r="14" spans="1:14" x14ac:dyDescent="0.2">
      <c r="A14" s="821" t="s">
        <v>390</v>
      </c>
      <c r="B14" s="822"/>
      <c r="C14" s="822"/>
      <c r="D14" s="822"/>
      <c r="E14" s="822"/>
      <c r="F14" s="822"/>
      <c r="G14" s="822"/>
      <c r="H14" s="822"/>
      <c r="I14" s="823"/>
      <c r="J14" s="166"/>
      <c r="L14" s="778"/>
      <c r="M14" s="779"/>
    </row>
    <row r="15" spans="1:14" ht="15.6" customHeight="1" x14ac:dyDescent="0.2">
      <c r="A15" s="739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453</v>
      </c>
      <c r="M15" s="781"/>
    </row>
    <row r="16" spans="1:14" ht="20.25" customHeight="1" x14ac:dyDescent="0.2">
      <c r="A16" s="740" t="s">
        <v>391</v>
      </c>
      <c r="B16" s="805"/>
      <c r="C16" s="805"/>
      <c r="D16" s="805"/>
      <c r="E16" s="805"/>
      <c r="F16" s="231"/>
      <c r="G16" s="213" t="s">
        <v>9</v>
      </c>
      <c r="H16" s="244" t="s">
        <v>392</v>
      </c>
      <c r="I16" s="244" t="s">
        <v>393</v>
      </c>
      <c r="L16" s="285" t="s">
        <v>115</v>
      </c>
      <c r="M16" s="781"/>
    </row>
    <row r="17" spans="1:13" ht="20.25" customHeight="1" x14ac:dyDescent="0.2">
      <c r="A17" s="824" t="s">
        <v>394</v>
      </c>
      <c r="B17" s="824"/>
      <c r="C17" s="824"/>
      <c r="D17" s="825"/>
      <c r="E17" s="825"/>
      <c r="F17" s="231"/>
      <c r="G17" s="213" t="s">
        <v>11</v>
      </c>
      <c r="H17" s="244" t="s">
        <v>395</v>
      </c>
      <c r="I17" s="244" t="s">
        <v>396</v>
      </c>
      <c r="L17" s="285" t="s">
        <v>116</v>
      </c>
      <c r="M17" s="782"/>
    </row>
    <row r="18" spans="1:13" ht="20.25" customHeight="1" x14ac:dyDescent="0.2">
      <c r="A18" s="740" t="s">
        <v>397</v>
      </c>
      <c r="B18" s="805"/>
      <c r="C18" s="805"/>
      <c r="D18" s="805"/>
      <c r="E18" s="805"/>
      <c r="F18" s="741"/>
      <c r="G18" s="77" t="s">
        <v>398</v>
      </c>
      <c r="H18" s="742">
        <v>75</v>
      </c>
      <c r="I18" s="69"/>
    </row>
    <row r="19" spans="1:13" ht="16.149999999999999" customHeight="1" x14ac:dyDescent="0.2">
      <c r="E19" s="231"/>
      <c r="F19" s="231"/>
      <c r="G19" s="220" t="s">
        <v>399</v>
      </c>
      <c r="H19" s="742">
        <v>63</v>
      </c>
      <c r="I19" s="69"/>
    </row>
    <row r="20" spans="1:13" ht="18" customHeight="1" x14ac:dyDescent="0.2">
      <c r="A20" s="826" t="s">
        <v>400</v>
      </c>
      <c r="B20" s="826"/>
      <c r="C20" s="826"/>
      <c r="D20" s="826"/>
      <c r="E20" s="826"/>
      <c r="F20" s="743"/>
      <c r="G20" s="77" t="s">
        <v>401</v>
      </c>
      <c r="H20" s="742">
        <v>50</v>
      </c>
      <c r="I20" s="69"/>
      <c r="J20" s="774"/>
    </row>
    <row r="21" spans="1:13" ht="20.25" customHeight="1" x14ac:dyDescent="0.2">
      <c r="A21" s="744" t="s">
        <v>402</v>
      </c>
      <c r="B21" s="745"/>
      <c r="C21" s="746" t="s">
        <v>403</v>
      </c>
      <c r="D21" s="827"/>
      <c r="E21" s="827"/>
      <c r="F21" s="747"/>
      <c r="G21" s="77" t="s">
        <v>404</v>
      </c>
      <c r="H21" s="742">
        <v>37.5</v>
      </c>
      <c r="I21" s="69"/>
      <c r="J21" s="166"/>
    </row>
    <row r="22" spans="1:13" ht="20.25" customHeight="1" x14ac:dyDescent="0.2">
      <c r="A22" s="744" t="s">
        <v>405</v>
      </c>
      <c r="B22" s="745"/>
      <c r="C22" s="746" t="s">
        <v>403</v>
      </c>
      <c r="D22" s="827"/>
      <c r="E22" s="827"/>
      <c r="F22" s="747"/>
      <c r="G22" s="77" t="s">
        <v>406</v>
      </c>
      <c r="H22" s="742">
        <v>25</v>
      </c>
      <c r="I22" s="69"/>
    </row>
    <row r="23" spans="1:13" ht="20.25" customHeight="1" x14ac:dyDescent="0.2">
      <c r="A23" s="744" t="s">
        <v>407</v>
      </c>
      <c r="B23" s="745"/>
      <c r="C23" s="746" t="s">
        <v>403</v>
      </c>
      <c r="D23" s="827"/>
      <c r="E23" s="827"/>
      <c r="F23" s="747"/>
      <c r="G23" s="77" t="s">
        <v>408</v>
      </c>
      <c r="H23" s="742">
        <v>19</v>
      </c>
      <c r="I23" s="69"/>
    </row>
    <row r="24" spans="1:13" ht="20.25" customHeight="1" x14ac:dyDescent="0.2">
      <c r="A24" s="744" t="s">
        <v>409</v>
      </c>
      <c r="B24" s="745"/>
      <c r="C24" s="746" t="s">
        <v>403</v>
      </c>
      <c r="D24" s="827"/>
      <c r="E24" s="827"/>
      <c r="F24" s="747"/>
      <c r="G24" s="220" t="s">
        <v>410</v>
      </c>
      <c r="H24" s="742">
        <v>12.5</v>
      </c>
      <c r="I24" s="69"/>
    </row>
    <row r="25" spans="1:13" ht="19.149999999999999" customHeight="1" x14ac:dyDescent="0.2">
      <c r="A25" s="47"/>
      <c r="B25" s="743"/>
      <c r="C25" s="748"/>
      <c r="D25" s="743"/>
      <c r="E25" s="743"/>
      <c r="F25" s="743"/>
      <c r="G25" s="77" t="s">
        <v>411</v>
      </c>
      <c r="H25" s="742">
        <v>9.5</v>
      </c>
      <c r="I25" s="69"/>
    </row>
    <row r="26" spans="1:13" ht="17.25" customHeight="1" x14ac:dyDescent="0.2">
      <c r="A26" s="817" t="s">
        <v>412</v>
      </c>
      <c r="B26" s="817"/>
      <c r="C26" s="817"/>
      <c r="D26" s="817"/>
      <c r="E26" s="817"/>
      <c r="F26" s="5"/>
      <c r="G26" s="77" t="s">
        <v>413</v>
      </c>
      <c r="H26" s="742">
        <v>4.75</v>
      </c>
      <c r="I26" s="69"/>
    </row>
    <row r="27" spans="1:13" ht="20.25" customHeight="1" x14ac:dyDescent="0.2">
      <c r="A27" s="749" t="s">
        <v>402</v>
      </c>
      <c r="B27" s="750"/>
      <c r="C27" s="751" t="s">
        <v>403</v>
      </c>
      <c r="D27" s="813"/>
      <c r="E27" s="813"/>
      <c r="G27" s="220" t="s">
        <v>414</v>
      </c>
      <c r="H27" s="188">
        <v>2.36</v>
      </c>
      <c r="I27" s="69"/>
    </row>
    <row r="28" spans="1:13" ht="20.25" customHeight="1" x14ac:dyDescent="0.2">
      <c r="A28" s="749" t="s">
        <v>415</v>
      </c>
      <c r="B28" s="752"/>
      <c r="C28" s="753" t="s">
        <v>403</v>
      </c>
      <c r="D28" s="805"/>
      <c r="E28" s="805"/>
      <c r="G28" s="77" t="s">
        <v>416</v>
      </c>
      <c r="H28" s="188">
        <v>2</v>
      </c>
      <c r="I28" s="69"/>
    </row>
    <row r="29" spans="1:13" ht="20.25" customHeight="1" x14ac:dyDescent="0.2">
      <c r="A29" s="814" t="s">
        <v>417</v>
      </c>
      <c r="B29" s="815"/>
      <c r="C29" s="815"/>
      <c r="D29" s="815"/>
      <c r="E29" s="816"/>
      <c r="G29" s="220" t="s">
        <v>418</v>
      </c>
      <c r="H29" s="188">
        <v>1.18</v>
      </c>
      <c r="I29" s="69"/>
      <c r="J29" s="166"/>
    </row>
    <row r="30" spans="1:13" ht="20.25" customHeight="1" x14ac:dyDescent="0.2">
      <c r="A30" s="744" t="s">
        <v>405</v>
      </c>
      <c r="B30" s="754"/>
      <c r="C30" s="753" t="s">
        <v>403</v>
      </c>
      <c r="D30" s="805"/>
      <c r="E30" s="805"/>
      <c r="G30" s="220" t="s">
        <v>161</v>
      </c>
      <c r="H30" s="188">
        <v>0.6</v>
      </c>
      <c r="I30" s="69"/>
      <c r="J30" s="166"/>
    </row>
    <row r="31" spans="1:13" ht="20.25" customHeight="1" x14ac:dyDescent="0.2">
      <c r="A31" s="749" t="s">
        <v>407</v>
      </c>
      <c r="B31" s="754"/>
      <c r="C31" s="753" t="s">
        <v>403</v>
      </c>
      <c r="D31" s="805"/>
      <c r="E31" s="805"/>
      <c r="G31" s="220" t="s">
        <v>419</v>
      </c>
      <c r="H31" s="188">
        <v>0.42499999999999999</v>
      </c>
      <c r="I31" s="69"/>
      <c r="J31" s="166"/>
    </row>
    <row r="32" spans="1:13" ht="20.25" customHeight="1" x14ac:dyDescent="0.2">
      <c r="A32" s="814" t="s">
        <v>420</v>
      </c>
      <c r="B32" s="815"/>
      <c r="C32" s="815"/>
      <c r="D32" s="815"/>
      <c r="E32" s="816"/>
      <c r="G32" s="220" t="s">
        <v>421</v>
      </c>
      <c r="H32" s="188">
        <v>0.3</v>
      </c>
      <c r="I32" s="69"/>
      <c r="J32" s="166"/>
    </row>
    <row r="33" spans="1:10" ht="20.25" customHeight="1" x14ac:dyDescent="0.2">
      <c r="A33" s="744" t="s">
        <v>422</v>
      </c>
      <c r="B33" s="754"/>
      <c r="C33" s="753" t="s">
        <v>403</v>
      </c>
      <c r="D33" s="805"/>
      <c r="E33" s="805"/>
      <c r="F33" s="741"/>
      <c r="G33" s="220" t="s">
        <v>423</v>
      </c>
      <c r="H33" s="188">
        <v>0.15</v>
      </c>
      <c r="I33" s="69"/>
      <c r="J33" s="166"/>
    </row>
    <row r="34" spans="1:10" ht="20.25" customHeight="1" x14ac:dyDescent="0.2">
      <c r="A34" s="755" t="s">
        <v>424</v>
      </c>
      <c r="C34" s="748" t="s">
        <v>403</v>
      </c>
      <c r="D34" s="805"/>
      <c r="E34" s="805"/>
      <c r="F34" s="741"/>
      <c r="G34" s="220" t="s">
        <v>425</v>
      </c>
      <c r="H34" s="188">
        <v>7.4999999999999997E-2</v>
      </c>
      <c r="I34" s="69"/>
      <c r="J34" s="166"/>
    </row>
    <row r="35" spans="1:10" ht="20.25" customHeight="1" x14ac:dyDescent="0.2">
      <c r="A35" s="744" t="s">
        <v>426</v>
      </c>
      <c r="B35" s="754"/>
      <c r="C35" s="753" t="s">
        <v>403</v>
      </c>
      <c r="D35" s="805"/>
      <c r="E35" s="805"/>
      <c r="F35" s="741"/>
      <c r="G35" s="230" t="s">
        <v>34</v>
      </c>
      <c r="H35" s="230">
        <v>0.01</v>
      </c>
      <c r="I35" s="230"/>
      <c r="J35" s="166"/>
    </row>
    <row r="36" spans="1:10" ht="20.25" customHeight="1" x14ac:dyDescent="0.2">
      <c r="A36" s="755" t="s">
        <v>427</v>
      </c>
      <c r="C36" s="748" t="s">
        <v>403</v>
      </c>
      <c r="D36" s="805"/>
      <c r="E36" s="805"/>
      <c r="F36" s="741"/>
      <c r="H36" s="756" t="s">
        <v>428</v>
      </c>
      <c r="J36" s="166"/>
    </row>
    <row r="37" spans="1:10" ht="20.25" customHeight="1" x14ac:dyDescent="0.2">
      <c r="A37" s="744" t="s">
        <v>429</v>
      </c>
      <c r="B37" s="754"/>
      <c r="C37" s="753" t="s">
        <v>403</v>
      </c>
      <c r="D37" s="805"/>
      <c r="E37" s="805"/>
      <c r="F37" s="741"/>
      <c r="J37" s="166"/>
    </row>
    <row r="38" spans="1:10" ht="20.25" customHeight="1" x14ac:dyDescent="0.2">
      <c r="A38" s="749" t="s">
        <v>430</v>
      </c>
      <c r="B38" s="757"/>
      <c r="C38" s="751" t="s">
        <v>431</v>
      </c>
      <c r="D38" s="805"/>
      <c r="E38" s="805"/>
      <c r="F38" s="741"/>
      <c r="I38" s="758"/>
      <c r="J38" s="166"/>
    </row>
    <row r="39" spans="1:10" ht="20.25" customHeight="1" x14ac:dyDescent="0.2">
      <c r="A39" s="749" t="s">
        <v>432</v>
      </c>
      <c r="B39" s="757"/>
      <c r="C39" s="751" t="s">
        <v>403</v>
      </c>
      <c r="D39" s="805"/>
      <c r="E39" s="805"/>
      <c r="F39" s="741"/>
      <c r="G39" s="759"/>
      <c r="H39" s="760"/>
      <c r="I39" s="758"/>
      <c r="J39" s="166"/>
    </row>
    <row r="40" spans="1:10" ht="6.75" customHeight="1" x14ac:dyDescent="0.2">
      <c r="E40" s="741"/>
      <c r="F40" s="741"/>
      <c r="G40" s="759"/>
      <c r="H40" s="760"/>
      <c r="I40" s="758"/>
      <c r="J40" s="166"/>
    </row>
    <row r="41" spans="1:10" ht="15.75" customHeight="1" x14ac:dyDescent="0.2">
      <c r="A41" s="806" t="s">
        <v>433</v>
      </c>
      <c r="B41" s="806"/>
      <c r="C41" s="806"/>
      <c r="D41" s="806"/>
      <c r="E41" s="761"/>
      <c r="F41" s="761"/>
      <c r="J41" s="166"/>
    </row>
    <row r="42" spans="1:10" ht="20.25" customHeight="1" x14ac:dyDescent="0.2">
      <c r="A42" s="762" t="s">
        <v>434</v>
      </c>
      <c r="B42" s="763"/>
      <c r="C42" s="807"/>
      <c r="D42" s="807"/>
      <c r="E42" s="808"/>
      <c r="F42" s="808"/>
      <c r="J42" s="166"/>
    </row>
    <row r="43" spans="1:10" ht="20.25" customHeight="1" x14ac:dyDescent="0.2">
      <c r="A43" s="762" t="s">
        <v>435</v>
      </c>
      <c r="B43" s="764"/>
      <c r="C43" s="807"/>
      <c r="D43" s="807"/>
      <c r="E43" s="808"/>
      <c r="F43" s="808"/>
      <c r="J43" s="166"/>
    </row>
    <row r="44" spans="1:10" ht="21" customHeight="1" x14ac:dyDescent="0.2">
      <c r="A44" s="765" t="s">
        <v>436</v>
      </c>
      <c r="B44" s="764"/>
      <c r="C44" s="807"/>
      <c r="D44" s="807"/>
      <c r="E44" s="808"/>
      <c r="F44" s="808"/>
      <c r="J44" s="166"/>
    </row>
    <row r="45" spans="1:10" ht="6.75" customHeight="1" x14ac:dyDescent="0.2">
      <c r="J45" s="166"/>
    </row>
    <row r="46" spans="1:10" ht="20.25" customHeight="1" x14ac:dyDescent="0.2">
      <c r="A46" s="766" t="s">
        <v>437</v>
      </c>
      <c r="B46" s="767" t="s">
        <v>438</v>
      </c>
      <c r="C46" s="768"/>
      <c r="D46" s="769"/>
      <c r="E46" s="281"/>
      <c r="F46" s="281"/>
      <c r="J46" s="166"/>
    </row>
    <row r="47" spans="1:10" ht="25.5" customHeight="1" x14ac:dyDescent="0.2">
      <c r="A47" s="770" t="s">
        <v>439</v>
      </c>
      <c r="B47" s="809"/>
      <c r="C47" s="810"/>
      <c r="D47" s="811"/>
      <c r="E47" s="247"/>
      <c r="F47" s="247"/>
      <c r="G47" s="812" t="s">
        <v>440</v>
      </c>
      <c r="H47" s="812"/>
      <c r="I47" s="812"/>
      <c r="J47" s="166"/>
    </row>
    <row r="48" spans="1:10" ht="25.5" customHeight="1" x14ac:dyDescent="0.2">
      <c r="A48" s="771" t="s">
        <v>441</v>
      </c>
      <c r="B48" s="809"/>
      <c r="C48" s="810"/>
      <c r="D48" s="811"/>
      <c r="E48" s="247"/>
      <c r="F48" s="247"/>
      <c r="G48" s="4" t="s">
        <v>442</v>
      </c>
      <c r="J48" s="166"/>
    </row>
    <row r="49" spans="1:10" ht="28.5" customHeight="1" x14ac:dyDescent="0.2">
      <c r="A49" s="772" t="s">
        <v>443</v>
      </c>
      <c r="E49" s="247"/>
      <c r="F49" s="247"/>
      <c r="G49" s="247"/>
      <c r="H49" s="247"/>
      <c r="J49" s="166"/>
    </row>
    <row r="50" spans="1:10" ht="19.5" customHeight="1" x14ac:dyDescent="0.2">
      <c r="A50" s="772"/>
      <c r="E50" s="247"/>
      <c r="F50" s="247"/>
      <c r="G50" s="247"/>
      <c r="H50" s="247"/>
      <c r="J50" s="166"/>
    </row>
    <row r="51" spans="1:10" ht="19.5" customHeight="1" x14ac:dyDescent="0.2">
      <c r="A51" s="772"/>
      <c r="E51" s="247"/>
      <c r="F51" s="247"/>
      <c r="G51" s="247"/>
      <c r="H51" s="247"/>
      <c r="J51" s="166"/>
    </row>
    <row r="52" spans="1:10" ht="15.95" customHeight="1" x14ac:dyDescent="0.2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">
      <c r="A53" s="16" t="s">
        <v>444</v>
      </c>
      <c r="B53" s="239"/>
      <c r="C53" s="239"/>
      <c r="D53" s="773" t="s">
        <v>445</v>
      </c>
      <c r="E53" s="773"/>
      <c r="F53" s="773"/>
      <c r="G53" s="239"/>
      <c r="H53" s="239"/>
      <c r="I53" s="239"/>
      <c r="J53" s="166"/>
    </row>
    <row r="54" spans="1:10" ht="3.75" customHeight="1" x14ac:dyDescent="0.2"/>
    <row r="55" spans="1:10" ht="25.5" customHeight="1" x14ac:dyDescent="0.2">
      <c r="A55" s="804" t="s">
        <v>446</v>
      </c>
      <c r="B55" s="804"/>
      <c r="C55" s="804"/>
      <c r="D55" s="804"/>
      <c r="E55" s="804"/>
      <c r="F55" s="804"/>
      <c r="G55" s="804"/>
      <c r="H55" s="804"/>
      <c r="I55" s="804"/>
    </row>
    <row r="56" spans="1:10" ht="15.95" customHeight="1" x14ac:dyDescent="0.2"/>
    <row r="57" spans="1:10" ht="15.95" customHeight="1" x14ac:dyDescent="0.2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B11:C11"/>
    <mergeCell ref="D11:E11"/>
    <mergeCell ref="F11:G11"/>
    <mergeCell ref="A7:I7"/>
    <mergeCell ref="A8:I8"/>
    <mergeCell ref="B10:C10"/>
    <mergeCell ref="D10:E10"/>
    <mergeCell ref="F10:G10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28515625" defaultRowHeight="15" x14ac:dyDescent="0.25"/>
  <cols>
    <col min="1" max="1" width="10.85546875" style="314" customWidth="1"/>
    <col min="2" max="2" width="2.28515625" style="314" customWidth="1"/>
    <col min="3" max="3" width="5.5703125" style="314" customWidth="1"/>
    <col min="4" max="5" width="10.28515625" style="314" customWidth="1"/>
    <col min="6" max="8" width="13.7109375" style="314" customWidth="1"/>
    <col min="9" max="9" width="1.85546875" style="314" customWidth="1"/>
    <col min="10" max="10" width="9.28515625" style="314" customWidth="1"/>
    <col min="11" max="11" width="10" style="314" customWidth="1"/>
    <col min="12" max="12" width="6.85546875" style="314" customWidth="1"/>
    <col min="13" max="13" width="7" style="314" customWidth="1"/>
    <col min="14" max="26" width="13.28515625" style="314" customWidth="1"/>
    <col min="27" max="16384" width="10.285156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35" t="s">
        <v>2</v>
      </c>
      <c r="B6" s="835"/>
      <c r="C6" s="835"/>
      <c r="D6" s="835"/>
      <c r="E6" s="835"/>
      <c r="F6" s="835"/>
      <c r="G6" s="835"/>
      <c r="H6" s="835"/>
      <c r="I6" s="835"/>
      <c r="J6" s="835"/>
      <c r="K6" s="835"/>
      <c r="L6" s="835"/>
      <c r="M6" s="835"/>
      <c r="Z6" s="315"/>
    </row>
    <row r="7" spans="1:26" ht="15.75" customHeight="1" x14ac:dyDescent="0.25">
      <c r="A7" s="836">
        <v>1</v>
      </c>
      <c r="B7" s="836"/>
      <c r="C7" s="836"/>
      <c r="D7" s="836"/>
      <c r="E7" s="836"/>
      <c r="F7" s="836"/>
      <c r="G7" s="836"/>
      <c r="H7" s="836"/>
      <c r="I7" s="836"/>
      <c r="J7" s="836"/>
      <c r="K7" s="836"/>
      <c r="L7" s="836"/>
      <c r="M7" s="836"/>
    </row>
    <row r="8" spans="1:26" ht="8.25" customHeight="1" x14ac:dyDescent="0.25"/>
    <row r="9" spans="1:26" ht="15" customHeight="1" x14ac:dyDescent="0.25">
      <c r="A9" s="281" t="s">
        <v>358</v>
      </c>
      <c r="B9" s="247" t="s">
        <v>0</v>
      </c>
      <c r="C9" s="645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300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357</v>
      </c>
      <c r="L10" s="837">
        <v>1</v>
      </c>
      <c r="M10" s="837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38"/>
      <c r="M11" s="838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8" t="s">
        <v>359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48" t="s">
        <v>128</v>
      </c>
      <c r="B14" s="849"/>
      <c r="C14" s="849"/>
      <c r="D14" s="849"/>
      <c r="E14" s="849"/>
      <c r="F14" s="849"/>
      <c r="G14" s="849"/>
      <c r="H14" s="849"/>
      <c r="I14" s="849"/>
      <c r="J14" s="849"/>
      <c r="K14" s="849"/>
      <c r="L14" s="849"/>
      <c r="M14" s="85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51" t="s">
        <v>131</v>
      </c>
      <c r="B15" s="852"/>
      <c r="C15" s="852"/>
      <c r="D15" s="852"/>
      <c r="E15" s="852"/>
      <c r="F15" s="852"/>
      <c r="G15" s="852"/>
      <c r="H15" s="852"/>
      <c r="I15" s="852"/>
      <c r="J15" s="852"/>
      <c r="K15" s="852"/>
      <c r="L15" s="852"/>
      <c r="M15" s="853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301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58">
        <v>1</v>
      </c>
      <c r="M18" s="859"/>
      <c r="Y18" s="320"/>
    </row>
    <row r="19" spans="1:29" ht="15" customHeight="1" x14ac:dyDescent="0.25">
      <c r="A19" s="350" t="s">
        <v>360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38"/>
      <c r="M19" s="860"/>
      <c r="Y19" s="320"/>
    </row>
    <row r="20" spans="1:29" ht="15" customHeight="1" x14ac:dyDescent="0.25">
      <c r="A20" s="350" t="s">
        <v>361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38"/>
      <c r="M20" s="860"/>
      <c r="Y20" s="320"/>
    </row>
    <row r="21" spans="1:29" ht="15" customHeight="1" x14ac:dyDescent="0.25">
      <c r="A21" s="351" t="s">
        <v>362</v>
      </c>
      <c r="B21" s="485"/>
      <c r="C21" s="485"/>
      <c r="D21" s="534" t="s">
        <v>343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000000000000004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54" t="s">
        <v>354</v>
      </c>
      <c r="E23" s="855"/>
      <c r="F23" s="845" t="s">
        <v>277</v>
      </c>
      <c r="G23" s="845" t="s">
        <v>347</v>
      </c>
      <c r="H23" s="845" t="s">
        <v>276</v>
      </c>
      <c r="I23" s="337"/>
      <c r="J23" s="840" t="s">
        <v>146</v>
      </c>
      <c r="K23" s="841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56" t="s">
        <v>279</v>
      </c>
      <c r="AB23" s="857"/>
      <c r="AC23" s="845" t="s">
        <v>276</v>
      </c>
    </row>
    <row r="24" spans="1:29" ht="25.5" customHeight="1" x14ac:dyDescent="0.25">
      <c r="A24" s="356"/>
      <c r="B24" s="364"/>
      <c r="C24" s="364"/>
      <c r="D24" s="187" t="s">
        <v>280</v>
      </c>
      <c r="E24" s="500" t="s">
        <v>381</v>
      </c>
      <c r="F24" s="846"/>
      <c r="G24" s="846"/>
      <c r="H24" s="846"/>
      <c r="I24" s="337"/>
      <c r="J24" s="842"/>
      <c r="K24" s="843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268</v>
      </c>
      <c r="AB24" s="380" t="s">
        <v>12</v>
      </c>
      <c r="AC24" s="846"/>
    </row>
    <row r="25" spans="1:29" ht="12" customHeight="1" x14ac:dyDescent="0.25">
      <c r="A25" s="356"/>
      <c r="B25" s="364"/>
      <c r="C25" s="364"/>
      <c r="D25" s="230" t="s">
        <v>260</v>
      </c>
      <c r="E25" s="303" t="s">
        <v>369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269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261</v>
      </c>
      <c r="E26" s="303" t="s">
        <v>370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270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262</v>
      </c>
      <c r="E27" s="303" t="s">
        <v>371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263</v>
      </c>
      <c r="E28" s="215" t="s">
        <v>372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46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264</v>
      </c>
      <c r="E29" s="303" t="s">
        <v>373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46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265</v>
      </c>
      <c r="E30" s="303" t="s">
        <v>374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47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266</v>
      </c>
      <c r="E31" s="215" t="s">
        <v>375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267</v>
      </c>
      <c r="E32" s="215" t="s">
        <v>376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47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377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47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378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379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380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364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365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366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367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368</v>
      </c>
      <c r="F41" s="359" t="b">
        <f>+datos!F44</f>
        <v>0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308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4" t="s">
        <v>309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4" t="s">
        <v>296</v>
      </c>
      <c r="B59" s="644"/>
      <c r="C59" s="644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44" t="s">
        <v>297</v>
      </c>
      <c r="B60" s="844"/>
      <c r="C60" s="844"/>
      <c r="D60" s="844"/>
      <c r="E60" s="844"/>
      <c r="F60" s="844"/>
      <c r="G60" s="844"/>
      <c r="H60" s="844"/>
      <c r="I60" s="844"/>
      <c r="J60" s="844"/>
      <c r="K60" s="844"/>
      <c r="L60" s="844"/>
      <c r="M60" s="844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4" t="s">
        <v>298</v>
      </c>
      <c r="B61" s="644"/>
      <c r="C61" s="644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44" t="s">
        <v>356</v>
      </c>
      <c r="B62" s="844"/>
      <c r="C62" s="844"/>
      <c r="D62" s="844"/>
      <c r="E62" s="844"/>
      <c r="F62" s="844"/>
      <c r="G62" s="844"/>
      <c r="H62" s="844"/>
      <c r="I62" s="844"/>
      <c r="J62" s="844"/>
      <c r="K62" s="844"/>
      <c r="L62" s="844"/>
      <c r="M62" s="844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310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39" t="s">
        <v>363</v>
      </c>
      <c r="B65" s="839"/>
      <c r="C65" s="839"/>
      <c r="D65" s="839"/>
      <c r="E65" s="337"/>
      <c r="F65" s="337"/>
      <c r="G65" s="337"/>
      <c r="H65" s="337"/>
      <c r="I65" s="337"/>
      <c r="J65" s="337"/>
      <c r="K65" s="337"/>
      <c r="L65" s="482" t="s">
        <v>299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topLeftCell="A13" zoomScaleNormal="100" zoomScaleSheetLayoutView="100" workbookViewId="0">
      <selection activeCell="N59" sqref="N59"/>
    </sheetView>
  </sheetViews>
  <sheetFormatPr baseColWidth="10" defaultColWidth="10.28515625" defaultRowHeight="15" x14ac:dyDescent="0.25"/>
  <cols>
    <col min="1" max="1" width="10.85546875" style="314" customWidth="1"/>
    <col min="2" max="2" width="2.28515625" style="314" customWidth="1"/>
    <col min="3" max="3" width="5.5703125" style="314" customWidth="1"/>
    <col min="4" max="5" width="10.28515625" style="314" customWidth="1"/>
    <col min="6" max="8" width="13.7109375" style="314" customWidth="1"/>
    <col min="9" max="9" width="1.85546875" style="314" customWidth="1"/>
    <col min="10" max="10" width="9.28515625" style="314" customWidth="1"/>
    <col min="11" max="11" width="10" style="314" customWidth="1"/>
    <col min="12" max="12" width="12.28515625" style="314" customWidth="1"/>
    <col min="13" max="25" width="13.28515625" style="314" customWidth="1"/>
    <col min="26" max="16384" width="10.285156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35" t="s">
        <v>2</v>
      </c>
      <c r="B6" s="835"/>
      <c r="C6" s="835"/>
      <c r="D6" s="835"/>
      <c r="E6" s="835"/>
      <c r="F6" s="835"/>
      <c r="G6" s="835"/>
      <c r="H6" s="835"/>
      <c r="I6" s="835"/>
      <c r="J6" s="835"/>
      <c r="K6" s="835"/>
      <c r="L6" s="835"/>
      <c r="Y6" s="315"/>
    </row>
    <row r="7" spans="1:25" ht="15.75" customHeight="1" x14ac:dyDescent="0.25">
      <c r="A7" s="861">
        <v>1</v>
      </c>
      <c r="B7" s="861"/>
      <c r="C7" s="861"/>
      <c r="D7" s="861"/>
      <c r="E7" s="861"/>
      <c r="F7" s="861"/>
      <c r="G7" s="861"/>
      <c r="H7" s="861"/>
      <c r="I7" s="861"/>
      <c r="J7" s="861"/>
      <c r="K7" s="861"/>
      <c r="L7" s="861"/>
    </row>
    <row r="8" spans="1:25" ht="8.25" customHeight="1" x14ac:dyDescent="0.25"/>
    <row r="9" spans="1:25" ht="15" customHeight="1" x14ac:dyDescent="0.25">
      <c r="A9" s="281" t="s">
        <v>358</v>
      </c>
      <c r="B9" s="247" t="s">
        <v>0</v>
      </c>
      <c r="C9" s="645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300</v>
      </c>
      <c r="B10" s="247" t="s">
        <v>0</v>
      </c>
      <c r="C10" s="645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357</v>
      </c>
      <c r="L10" s="724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5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383</v>
      </c>
      <c r="L11" s="724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5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2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8" t="s">
        <v>359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48" t="s">
        <v>128</v>
      </c>
      <c r="B14" s="849"/>
      <c r="C14" s="849"/>
      <c r="D14" s="849"/>
      <c r="E14" s="849"/>
      <c r="F14" s="849"/>
      <c r="G14" s="849"/>
      <c r="H14" s="849"/>
      <c r="I14" s="849"/>
      <c r="J14" s="849"/>
      <c r="K14" s="849"/>
      <c r="L14" s="850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51" t="s">
        <v>467</v>
      </c>
      <c r="B15" s="852"/>
      <c r="C15" s="852"/>
      <c r="D15" s="852"/>
      <c r="E15" s="852"/>
      <c r="F15" s="852"/>
      <c r="G15" s="852"/>
      <c r="H15" s="852"/>
      <c r="I15" s="852"/>
      <c r="J15" s="852"/>
      <c r="K15" s="852"/>
      <c r="L15" s="853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50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1"/>
      <c r="X17" s="320"/>
    </row>
    <row r="18" spans="1:28" ht="15" customHeight="1" x14ac:dyDescent="0.25">
      <c r="A18" s="350" t="s">
        <v>301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5">
        <f>+FORMATO!M11</f>
        <v>0</v>
      </c>
      <c r="X18" s="320"/>
    </row>
    <row r="19" spans="1:28" ht="15" customHeight="1" x14ac:dyDescent="0.25">
      <c r="A19" s="350" t="s">
        <v>360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4">
        <f>+FORMATO!M12</f>
        <v>0</v>
      </c>
      <c r="X19" s="320"/>
    </row>
    <row r="20" spans="1:28" ht="15" customHeight="1" x14ac:dyDescent="0.25">
      <c r="A20" s="350" t="s">
        <v>361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4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362</v>
      </c>
      <c r="B21" s="485"/>
      <c r="C21" s="485"/>
      <c r="D21" s="534" t="s">
        <v>343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000000000000004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54" t="s">
        <v>354</v>
      </c>
      <c r="E23" s="855"/>
      <c r="F23" s="845" t="s">
        <v>277</v>
      </c>
      <c r="G23" s="845" t="s">
        <v>347</v>
      </c>
      <c r="H23" s="845" t="s">
        <v>276</v>
      </c>
      <c r="I23" s="337"/>
      <c r="J23" s="840" t="s">
        <v>146</v>
      </c>
      <c r="K23" s="841"/>
      <c r="L23" s="652"/>
      <c r="M23" s="320"/>
      <c r="N23" s="840" t="s">
        <v>146</v>
      </c>
      <c r="O23" s="841"/>
      <c r="P23" s="320"/>
      <c r="Q23" s="320"/>
      <c r="R23" s="320"/>
      <c r="S23" s="320"/>
      <c r="T23" s="320"/>
      <c r="U23" s="320"/>
      <c r="V23" s="320"/>
      <c r="W23" s="320"/>
      <c r="X23" s="332"/>
      <c r="Z23" s="856" t="s">
        <v>279</v>
      </c>
      <c r="AA23" s="857"/>
      <c r="AB23" s="845" t="s">
        <v>276</v>
      </c>
    </row>
    <row r="24" spans="1:28" ht="25.5" customHeight="1" x14ac:dyDescent="0.25">
      <c r="A24" s="356"/>
      <c r="B24" s="364"/>
      <c r="C24" s="364"/>
      <c r="D24" s="187" t="s">
        <v>280</v>
      </c>
      <c r="E24" s="500" t="s">
        <v>381</v>
      </c>
      <c r="F24" s="846"/>
      <c r="G24" s="846"/>
      <c r="H24" s="846"/>
      <c r="I24" s="337"/>
      <c r="J24" s="842"/>
      <c r="K24" s="843"/>
      <c r="L24" s="652"/>
      <c r="M24" s="320"/>
      <c r="N24" s="842"/>
      <c r="O24" s="843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268</v>
      </c>
      <c r="AA24" s="380" t="s">
        <v>12</v>
      </c>
      <c r="AB24" s="846"/>
    </row>
    <row r="25" spans="1:28" ht="12" customHeight="1" x14ac:dyDescent="0.25">
      <c r="A25" s="356"/>
      <c r="B25" s="364"/>
      <c r="C25" s="364"/>
      <c r="D25" s="230" t="s">
        <v>260</v>
      </c>
      <c r="E25" s="303" t="s">
        <v>369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3" t="s">
        <v>382</v>
      </c>
      <c r="K25" s="866" t="e">
        <f>+datos!I21</f>
        <v>#DIV/0!</v>
      </c>
      <c r="L25" s="653"/>
      <c r="M25" s="334"/>
      <c r="N25" s="360" t="s">
        <v>269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261</v>
      </c>
      <c r="E26" s="303" t="s">
        <v>370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4"/>
      <c r="K26" s="867"/>
      <c r="L26" s="653"/>
      <c r="M26" s="320"/>
      <c r="N26" s="360" t="s">
        <v>270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262</v>
      </c>
      <c r="E27" s="303" t="s">
        <v>371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5"/>
      <c r="K27" s="868"/>
      <c r="L27" s="649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263</v>
      </c>
      <c r="E28" s="215" t="s">
        <v>372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54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264</v>
      </c>
      <c r="E29" s="303" t="s">
        <v>373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54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265</v>
      </c>
      <c r="E30" s="303" t="s">
        <v>374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55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266</v>
      </c>
      <c r="E31" s="215" t="s">
        <v>375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6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267</v>
      </c>
      <c r="E32" s="215" t="s">
        <v>376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7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377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7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378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379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380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364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365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366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367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368</v>
      </c>
      <c r="F41" s="359" t="b">
        <f>+datos!F44</f>
        <v>0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308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9" t="s">
        <v>468</v>
      </c>
      <c r="B58" s="869"/>
      <c r="C58" s="869"/>
      <c r="D58" s="869"/>
      <c r="E58" s="869"/>
      <c r="F58" s="869"/>
      <c r="G58" s="869"/>
      <c r="H58" s="869"/>
      <c r="I58" s="869"/>
      <c r="J58" s="869"/>
      <c r="K58" s="869"/>
      <c r="L58" s="869"/>
      <c r="Y58" s="386"/>
    </row>
    <row r="59" spans="1:25" ht="26.45" customHeight="1" x14ac:dyDescent="0.25">
      <c r="A59" s="862" t="s">
        <v>469</v>
      </c>
      <c r="B59" s="862"/>
      <c r="C59" s="862"/>
      <c r="D59" s="862"/>
      <c r="E59" s="862"/>
      <c r="F59" s="862"/>
      <c r="G59" s="862"/>
      <c r="H59" s="862"/>
      <c r="I59" s="862"/>
      <c r="J59" s="862"/>
      <c r="K59" s="862"/>
      <c r="L59" s="862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62" t="s">
        <v>470</v>
      </c>
      <c r="B60" s="862"/>
      <c r="C60" s="862"/>
      <c r="D60" s="862"/>
      <c r="E60" s="862"/>
      <c r="F60" s="862"/>
      <c r="G60" s="862"/>
      <c r="H60" s="862"/>
      <c r="I60" s="862"/>
      <c r="J60" s="862"/>
      <c r="K60" s="862"/>
      <c r="L60" s="862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" customHeight="1" x14ac:dyDescent="0.25">
      <c r="A61" s="862" t="s">
        <v>471</v>
      </c>
      <c r="B61" s="862"/>
      <c r="C61" s="862"/>
      <c r="D61" s="862"/>
      <c r="E61" s="862"/>
      <c r="F61" s="862"/>
      <c r="G61" s="862"/>
      <c r="H61" s="862"/>
      <c r="I61" s="862"/>
      <c r="J61" s="862"/>
      <c r="K61" s="862"/>
      <c r="L61" s="862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5" customHeight="1" x14ac:dyDescent="0.25">
      <c r="A62" s="844" t="s">
        <v>472</v>
      </c>
      <c r="B62" s="844"/>
      <c r="C62" s="844"/>
      <c r="D62" s="844"/>
      <c r="E62" s="844"/>
      <c r="F62" s="844"/>
      <c r="G62" s="844"/>
      <c r="H62" s="844"/>
      <c r="I62" s="844"/>
      <c r="J62" s="844"/>
      <c r="K62" s="844"/>
      <c r="L62" s="844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310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39" t="s">
        <v>473</v>
      </c>
      <c r="B65" s="839"/>
      <c r="C65" s="839"/>
      <c r="D65" s="839"/>
      <c r="E65" s="337"/>
      <c r="F65" s="337"/>
      <c r="G65" s="337"/>
      <c r="H65" s="337"/>
      <c r="I65" s="337"/>
      <c r="J65" s="337"/>
      <c r="K65" s="337"/>
      <c r="L65" s="701" t="s">
        <v>299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algorithmName="SHA-512" hashValue="kYEhBMpBR4A4hBDP8nVe+fkaAPDdKPZVLQdsDn27UTI5SW9m2Y+5D92W4wKhHAknMQUVToaGWb5F9zvawqmmWg==" saltValue="ArUihwcGijS44cDDSGldiA==" spinCount="100000" sheet="1"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  <mergeCell ref="A6:L6"/>
    <mergeCell ref="A7:L7"/>
    <mergeCell ref="A14:L14"/>
    <mergeCell ref="A15:L15"/>
    <mergeCell ref="Z23:AA23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abSelected="1" topLeftCell="A7" zoomScale="90" zoomScaleNormal="90" zoomScaleSheetLayoutView="100" workbookViewId="0">
      <selection activeCell="N11" sqref="N11"/>
    </sheetView>
  </sheetViews>
  <sheetFormatPr baseColWidth="10" defaultColWidth="10.28515625" defaultRowHeight="15" x14ac:dyDescent="0.25"/>
  <cols>
    <col min="1" max="1" width="4.85546875" style="438" customWidth="1"/>
    <col min="2" max="5" width="11.28515625" style="438" customWidth="1"/>
    <col min="6" max="6" width="13.5703125" style="438" customWidth="1"/>
    <col min="7" max="8" width="11.28515625" style="438" customWidth="1"/>
    <col min="9" max="12" width="11.5703125" style="438" customWidth="1"/>
    <col min="13" max="21" width="8.7109375" style="438" customWidth="1"/>
    <col min="22" max="16384" width="10.28515625" style="438"/>
  </cols>
  <sheetData>
    <row r="1" spans="1:14" ht="18" customHeight="1" x14ac:dyDescent="0.25">
      <c r="A1" s="470"/>
      <c r="B1" s="848" t="s">
        <v>128</v>
      </c>
      <c r="C1" s="849"/>
      <c r="D1" s="849"/>
      <c r="E1" s="849"/>
      <c r="F1" s="849"/>
      <c r="G1" s="849"/>
      <c r="H1" s="849"/>
      <c r="I1" s="849"/>
      <c r="J1" s="849"/>
      <c r="K1" s="849"/>
      <c r="L1" s="850"/>
    </row>
    <row r="2" spans="1:14" ht="18" customHeight="1" x14ac:dyDescent="0.25">
      <c r="A2" s="470"/>
      <c r="B2" s="851" t="s">
        <v>384</v>
      </c>
      <c r="C2" s="852"/>
      <c r="D2" s="852"/>
      <c r="E2" s="852"/>
      <c r="F2" s="852"/>
      <c r="G2" s="852"/>
      <c r="H2" s="852"/>
      <c r="I2" s="852"/>
      <c r="J2" s="852"/>
      <c r="K2" s="852"/>
      <c r="L2" s="853"/>
    </row>
    <row r="3" spans="1:14" ht="18" customHeight="1" x14ac:dyDescent="0.25">
      <c r="A3" s="470"/>
      <c r="B3" s="721" t="s">
        <v>305</v>
      </c>
      <c r="C3" s="609"/>
      <c r="D3" s="610"/>
      <c r="E3" s="610"/>
      <c r="F3" s="610"/>
      <c r="G3" s="610"/>
      <c r="H3" s="610"/>
      <c r="I3" s="541"/>
      <c r="J3" s="541"/>
      <c r="K3" s="541"/>
      <c r="L3" s="542"/>
    </row>
    <row r="4" spans="1:14" ht="18" customHeight="1" x14ac:dyDescent="0.25">
      <c r="A4" s="470"/>
      <c r="B4" s="722" t="s">
        <v>306</v>
      </c>
      <c r="C4" s="791"/>
      <c r="D4" s="792"/>
      <c r="E4" s="791"/>
      <c r="F4" s="791"/>
      <c r="G4" s="793"/>
      <c r="H4" s="791"/>
      <c r="I4" s="794"/>
      <c r="J4" s="794"/>
      <c r="K4" s="794"/>
      <c r="L4" s="490"/>
    </row>
    <row r="5" spans="1:14" ht="18" customHeight="1" x14ac:dyDescent="0.25">
      <c r="A5" s="470"/>
      <c r="B5" s="722" t="s">
        <v>307</v>
      </c>
      <c r="C5" s="791"/>
      <c r="D5" s="795">
        <f>+Balanza!B8</f>
        <v>-3.2899999999999998E-6</v>
      </c>
      <c r="E5" s="791"/>
      <c r="F5" s="791"/>
      <c r="G5" s="793"/>
      <c r="H5" s="791"/>
      <c r="I5" s="794"/>
      <c r="J5" s="794"/>
      <c r="K5" s="794"/>
      <c r="L5" s="490"/>
    </row>
    <row r="6" spans="1:14" ht="18" customHeight="1" x14ac:dyDescent="0.25">
      <c r="A6" s="470"/>
      <c r="B6" s="722" t="s">
        <v>104</v>
      </c>
      <c r="C6" s="792"/>
      <c r="D6" s="796" t="str">
        <f>+Balanza!B12</f>
        <v>EQP-0046</v>
      </c>
      <c r="E6" s="797"/>
      <c r="F6" s="797"/>
      <c r="G6" s="792"/>
      <c r="H6" s="791"/>
      <c r="I6" s="794"/>
      <c r="J6" s="794"/>
      <c r="K6" s="794"/>
      <c r="L6" s="490"/>
    </row>
    <row r="7" spans="1:14" ht="18" customHeight="1" x14ac:dyDescent="0.25">
      <c r="A7" s="470"/>
      <c r="B7" s="723" t="s">
        <v>105</v>
      </c>
      <c r="C7" s="611"/>
      <c r="D7" s="798">
        <v>46132</v>
      </c>
      <c r="E7" s="612"/>
      <c r="F7" s="612"/>
      <c r="G7" s="613"/>
      <c r="H7" s="613"/>
      <c r="I7" s="789"/>
      <c r="J7" s="789"/>
      <c r="K7" s="789"/>
      <c r="L7" s="790"/>
    </row>
    <row r="8" spans="1:14" ht="8.4499999999999993" customHeight="1" x14ac:dyDescent="0.25">
      <c r="A8" s="470"/>
      <c r="B8" s="470"/>
      <c r="C8" s="614"/>
      <c r="D8" s="614"/>
      <c r="E8" s="615"/>
      <c r="F8" s="615"/>
      <c r="G8" s="615"/>
      <c r="H8" s="615"/>
      <c r="I8" s="615"/>
      <c r="J8" s="615"/>
      <c r="K8" s="615"/>
      <c r="L8" s="615"/>
    </row>
    <row r="9" spans="1:14" ht="18" customHeight="1" x14ac:dyDescent="0.25">
      <c r="A9" s="470"/>
      <c r="B9" s="439" t="s">
        <v>333</v>
      </c>
      <c r="C9" s="885" t="s">
        <v>345</v>
      </c>
      <c r="D9" s="886"/>
      <c r="F9" s="580" t="s">
        <v>355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5" t="s">
        <v>345</v>
      </c>
      <c r="D10" s="886"/>
      <c r="F10" s="708" t="s">
        <v>345</v>
      </c>
      <c r="G10" s="470">
        <f>+FORMATO!H11</f>
        <v>0</v>
      </c>
      <c r="H10" s="470"/>
      <c r="I10" s="470"/>
      <c r="J10" s="470"/>
      <c r="K10" s="470"/>
      <c r="L10" s="470"/>
      <c r="M10" s="440"/>
      <c r="N10" s="440"/>
    </row>
    <row r="11" spans="1:14" ht="7.15" customHeight="1" x14ac:dyDescent="0.25">
      <c r="A11" s="470"/>
      <c r="B11" s="441"/>
      <c r="C11" s="616"/>
      <c r="D11" s="616"/>
      <c r="E11" s="470"/>
      <c r="F11" s="470"/>
      <c r="G11" s="470"/>
      <c r="H11" s="470"/>
      <c r="I11" s="470"/>
      <c r="J11" s="470"/>
      <c r="K11" s="470"/>
      <c r="L11" s="617"/>
      <c r="M11" s="440"/>
      <c r="N11" s="440"/>
    </row>
    <row r="12" spans="1:14" ht="18" customHeight="1" x14ac:dyDescent="0.25">
      <c r="A12" s="470"/>
      <c r="B12" s="876" t="s">
        <v>283</v>
      </c>
      <c r="C12" s="877"/>
      <c r="D12" s="877"/>
      <c r="E12" s="878"/>
      <c r="F12" s="470"/>
      <c r="G12" s="879" t="s">
        <v>21</v>
      </c>
      <c r="H12" s="880"/>
      <c r="I12" s="881"/>
      <c r="J12" s="470"/>
      <c r="K12" s="470"/>
      <c r="L12" s="617"/>
      <c r="M12" s="440"/>
      <c r="N12" s="440"/>
    </row>
    <row r="13" spans="1:14" ht="18" customHeight="1" x14ac:dyDescent="0.25">
      <c r="A13" s="470"/>
      <c r="B13" s="618"/>
      <c r="C13" s="543" t="s">
        <v>281</v>
      </c>
      <c r="D13" s="543" t="s">
        <v>258</v>
      </c>
      <c r="E13" s="543" t="s">
        <v>282</v>
      </c>
      <c r="F13" s="617"/>
      <c r="G13" s="473"/>
      <c r="H13" s="474" t="s">
        <v>284</v>
      </c>
      <c r="I13" s="474" t="s">
        <v>258</v>
      </c>
      <c r="J13" s="470"/>
      <c r="K13" s="470"/>
      <c r="L13" s="617"/>
      <c r="M13" s="440"/>
      <c r="N13" s="440"/>
    </row>
    <row r="14" spans="1:14" ht="18" customHeight="1" x14ac:dyDescent="0.25">
      <c r="B14" s="581" t="s">
        <v>22</v>
      </c>
      <c r="C14" s="561">
        <f>+FORMATO!D30</f>
        <v>0</v>
      </c>
      <c r="D14" s="562">
        <f>C14+($D$5*C14)</f>
        <v>0</v>
      </c>
      <c r="E14" s="563">
        <f>D14</f>
        <v>0</v>
      </c>
      <c r="F14" s="619">
        <f>SUM(E28:E45)</f>
        <v>359.89881592899997</v>
      </c>
      <c r="G14" s="582" t="s">
        <v>285</v>
      </c>
      <c r="H14" s="538">
        <f>+FORMATO!D35</f>
        <v>0</v>
      </c>
      <c r="I14" s="442">
        <f>H14+($D$5*H14)</f>
        <v>0</v>
      </c>
      <c r="J14" s="617"/>
      <c r="K14" s="617"/>
      <c r="L14" s="617"/>
      <c r="M14" s="443"/>
      <c r="N14" s="440"/>
    </row>
    <row r="15" spans="1:14" ht="18" customHeight="1" x14ac:dyDescent="0.25">
      <c r="B15" s="583" t="s">
        <v>23</v>
      </c>
      <c r="C15" s="564">
        <f>+FORMATO!D33</f>
        <v>0</v>
      </c>
      <c r="D15" s="565">
        <f>C15+($D$5*C15)</f>
        <v>0</v>
      </c>
      <c r="E15" s="566" t="e">
        <f>D15/(1+I16/100)</f>
        <v>#DIV/0!</v>
      </c>
      <c r="F15" s="620"/>
      <c r="G15" s="584" t="s">
        <v>286</v>
      </c>
      <c r="H15" s="539">
        <f>+FORMATO!D37</f>
        <v>0</v>
      </c>
      <c r="I15" s="444">
        <f>H15+($D$5*H15)</f>
        <v>0</v>
      </c>
      <c r="J15" s="617"/>
      <c r="K15" s="622"/>
      <c r="L15" s="622"/>
      <c r="M15" s="445"/>
      <c r="N15" s="440"/>
    </row>
    <row r="16" spans="1:14" ht="18" customHeight="1" x14ac:dyDescent="0.25">
      <c r="B16" s="585" t="s">
        <v>24</v>
      </c>
      <c r="C16" s="447"/>
      <c r="D16" s="448"/>
      <c r="E16" s="560" t="e">
        <f>SUM(E14:E15)</f>
        <v>#DIV/0!</v>
      </c>
      <c r="F16" s="621" t="b">
        <f>IF(C10="Global",H15,IF(C10="Fraccionada",E16))</f>
        <v>0</v>
      </c>
      <c r="G16" s="586" t="s">
        <v>287</v>
      </c>
      <c r="H16" s="587" t="e">
        <f>((H14-H15)/H15)*100</f>
        <v>#DIV/0!</v>
      </c>
      <c r="I16" s="450" t="e">
        <f>((I14-I15)/I15)*100</f>
        <v>#DIV/0!</v>
      </c>
      <c r="J16" s="617"/>
      <c r="K16" s="622"/>
      <c r="L16" s="617"/>
      <c r="M16" s="445"/>
    </row>
    <row r="17" spans="1:22" ht="6.6" customHeight="1" x14ac:dyDescent="0.25">
      <c r="A17" s="623"/>
      <c r="B17" s="470"/>
      <c r="C17" s="470"/>
      <c r="D17" s="470"/>
      <c r="E17" s="470"/>
      <c r="F17" s="470"/>
      <c r="G17" s="470"/>
      <c r="H17" s="470"/>
      <c r="I17" s="470"/>
      <c r="J17" s="617"/>
      <c r="K17" s="622"/>
      <c r="L17" s="617"/>
      <c r="M17" s="440"/>
    </row>
    <row r="18" spans="1:22" ht="21" customHeight="1" x14ac:dyDescent="0.25">
      <c r="A18" s="623"/>
      <c r="B18" s="876" t="s">
        <v>25</v>
      </c>
      <c r="C18" s="877"/>
      <c r="D18" s="877"/>
      <c r="E18" s="878"/>
      <c r="F18" s="470"/>
      <c r="G18" s="470"/>
      <c r="H18" s="883" t="s">
        <v>146</v>
      </c>
      <c r="I18" s="884"/>
      <c r="J18" s="617"/>
      <c r="K18" s="622"/>
      <c r="L18" s="617"/>
    </row>
    <row r="19" spans="1:22" ht="18" customHeight="1" x14ac:dyDescent="0.25">
      <c r="A19" s="623"/>
      <c r="B19" s="452" t="s">
        <v>291</v>
      </c>
      <c r="C19" s="475"/>
      <c r="D19" s="475"/>
      <c r="E19" s="453" t="b">
        <f>IF(C9="Grueso",F14,F16)</f>
        <v>0</v>
      </c>
      <c r="F19" s="470"/>
      <c r="G19" s="470"/>
      <c r="H19" s="458" t="s">
        <v>269</v>
      </c>
      <c r="I19" s="459" t="e">
        <f>IF(C9="Fino","- -",T39)</f>
        <v>#DIV/0!</v>
      </c>
      <c r="J19" s="617"/>
      <c r="K19" s="471"/>
      <c r="L19" s="617"/>
      <c r="N19" s="440"/>
    </row>
    <row r="20" spans="1:22" ht="18" customHeight="1" x14ac:dyDescent="0.25">
      <c r="A20" s="623"/>
      <c r="B20" s="455" t="s">
        <v>290</v>
      </c>
      <c r="C20" s="456"/>
      <c r="D20" s="456"/>
      <c r="E20" s="457" t="b">
        <f>IF(C10="Global","--",IF(C10="Fraccionada",I15))</f>
        <v>0</v>
      </c>
      <c r="F20" s="470"/>
      <c r="G20" s="470"/>
      <c r="H20" s="458" t="s">
        <v>270</v>
      </c>
      <c r="I20" s="459" t="e">
        <f>IF(C9="Fino","- -",P39)</f>
        <v>#DIV/0!</v>
      </c>
      <c r="J20" s="470"/>
      <c r="K20" s="470"/>
      <c r="L20" s="624"/>
    </row>
    <row r="21" spans="1:22" ht="18" customHeight="1" x14ac:dyDescent="0.25">
      <c r="A21" s="451"/>
      <c r="B21" s="588" t="s">
        <v>304</v>
      </c>
      <c r="C21" s="589"/>
      <c r="D21" s="589"/>
      <c r="E21" s="537">
        <v>359.9</v>
      </c>
      <c r="F21" s="775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7"/>
    </row>
    <row r="22" spans="1:22" ht="18" customHeight="1" x14ac:dyDescent="0.25">
      <c r="A22" s="623"/>
      <c r="B22" s="455" t="s">
        <v>303</v>
      </c>
      <c r="C22" s="625"/>
      <c r="D22" s="625"/>
      <c r="E22" s="457">
        <f>IF(C10="Global",SUM(E28:E45),SUM(E37:E45))</f>
        <v>348.09885475099998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3"/>
      <c r="B23" s="460" t="s">
        <v>288</v>
      </c>
      <c r="C23" s="626"/>
      <c r="D23" s="626"/>
      <c r="E23" s="627">
        <f>ABS(E21-E22)</f>
        <v>11.801145249000001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3"/>
      <c r="B24" s="446" t="s">
        <v>302</v>
      </c>
      <c r="C24" s="628"/>
      <c r="D24" s="628"/>
      <c r="E24" s="629">
        <f>E23/E21*100</f>
        <v>3.2790067377049184</v>
      </c>
      <c r="F24" s="630" t="str">
        <f>+IF(E24&lt;=0.3,"cumple","no cumple")</f>
        <v>no cumple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499999999999993" customHeight="1" x14ac:dyDescent="0.25">
      <c r="A25" s="623"/>
      <c r="B25" s="477"/>
      <c r="C25" s="470"/>
      <c r="D25" s="470"/>
      <c r="E25" s="631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2"/>
      <c r="B26" s="882" t="s">
        <v>279</v>
      </c>
      <c r="C26" s="882"/>
      <c r="D26" s="633" t="s">
        <v>278</v>
      </c>
      <c r="E26" s="875" t="s">
        <v>100</v>
      </c>
      <c r="F26" s="873" t="s">
        <v>289</v>
      </c>
      <c r="G26" s="873" t="s">
        <v>346</v>
      </c>
      <c r="H26" s="873" t="s">
        <v>276</v>
      </c>
      <c r="I26" s="470"/>
      <c r="J26" s="470"/>
      <c r="K26" s="634"/>
      <c r="L26" s="634"/>
    </row>
    <row r="27" spans="1:22" ht="31.5" customHeight="1" x14ac:dyDescent="0.25">
      <c r="A27" s="635"/>
      <c r="B27" s="476" t="s">
        <v>268</v>
      </c>
      <c r="C27" s="476" t="s">
        <v>12</v>
      </c>
      <c r="D27" s="476" t="s">
        <v>28</v>
      </c>
      <c r="E27" s="875"/>
      <c r="F27" s="874"/>
      <c r="G27" s="874"/>
      <c r="H27" s="874"/>
      <c r="I27" s="470"/>
      <c r="J27" s="636"/>
      <c r="K27" s="634"/>
      <c r="L27" s="634"/>
      <c r="M27" s="709"/>
      <c r="N27" s="710"/>
      <c r="O27" s="710"/>
      <c r="P27" s="710"/>
      <c r="Q27" s="710"/>
      <c r="R27" s="710"/>
      <c r="S27" s="710"/>
      <c r="T27" s="710"/>
      <c r="U27" s="710"/>
      <c r="V27" s="711"/>
    </row>
    <row r="28" spans="1:22" ht="18" customHeight="1" x14ac:dyDescent="0.25">
      <c r="A28" s="635"/>
      <c r="B28" s="465">
        <v>3</v>
      </c>
      <c r="C28" s="462">
        <v>75</v>
      </c>
      <c r="D28" s="540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2"/>
      <c r="N28" s="590" t="e">
        <f t="shared" ref="N28:N36" si="1">IF(G28&gt;=5,1,0)</f>
        <v>#DIV/0!</v>
      </c>
      <c r="O28" s="590" t="e">
        <f>IF(N28=0,1,-0.5)</f>
        <v>#DIV/0!</v>
      </c>
      <c r="P28" s="590" t="e">
        <f>O28</f>
        <v>#DIV/0!</v>
      </c>
      <c r="Q28" s="591">
        <f t="shared" ref="Q28:Q36" si="2">+B28</f>
        <v>3</v>
      </c>
      <c r="R28" s="590">
        <f t="shared" ref="R28:R34" si="3">IF(D28&lt;100,1,0)</f>
        <v>1</v>
      </c>
      <c r="S28" s="590" t="e">
        <f t="shared" ref="S28:S36" si="4">IF(H28=100,1,-0.5)</f>
        <v>#DIV/0!</v>
      </c>
      <c r="T28" s="590" t="e">
        <f>S28</f>
        <v>#DIV/0!</v>
      </c>
      <c r="U28" s="591">
        <f>+Q28</f>
        <v>3</v>
      </c>
      <c r="V28" s="713"/>
    </row>
    <row r="29" spans="1:22" ht="18" customHeight="1" x14ac:dyDescent="0.25">
      <c r="A29" s="623"/>
      <c r="B29" s="466">
        <v>2.5</v>
      </c>
      <c r="C29" s="462">
        <v>63</v>
      </c>
      <c r="D29" s="540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2"/>
      <c r="N29" s="590" t="e">
        <f t="shared" si="1"/>
        <v>#DIV/0!</v>
      </c>
      <c r="O29" s="590" t="e">
        <f t="shared" ref="O29:O36" si="8">IF(N29=0,1,-0.5)</f>
        <v>#DIV/0!</v>
      </c>
      <c r="P29" s="590" t="e">
        <f t="shared" ref="P29:P36" si="9">P28+O29</f>
        <v>#DIV/0!</v>
      </c>
      <c r="Q29" s="591">
        <f t="shared" si="2"/>
        <v>2.5</v>
      </c>
      <c r="R29" s="590">
        <f t="shared" si="3"/>
        <v>1</v>
      </c>
      <c r="S29" s="590" t="e">
        <f t="shared" si="4"/>
        <v>#DIV/0!</v>
      </c>
      <c r="T29" s="590" t="e">
        <f t="shared" ref="T29:T36" si="10">T28+S29</f>
        <v>#DIV/0!</v>
      </c>
      <c r="U29" s="591">
        <f t="shared" ref="U29:U36" si="11">+Q29</f>
        <v>2.5</v>
      </c>
      <c r="V29" s="713"/>
    </row>
    <row r="30" spans="1:22" ht="18" customHeight="1" x14ac:dyDescent="0.25">
      <c r="A30" s="623"/>
      <c r="B30" s="465">
        <v>2</v>
      </c>
      <c r="C30" s="462">
        <v>50</v>
      </c>
      <c r="D30" s="540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2"/>
      <c r="N30" s="590" t="e">
        <f t="shared" si="1"/>
        <v>#DIV/0!</v>
      </c>
      <c r="O30" s="590" t="e">
        <f t="shared" si="8"/>
        <v>#DIV/0!</v>
      </c>
      <c r="P30" s="590" t="e">
        <f t="shared" si="9"/>
        <v>#DIV/0!</v>
      </c>
      <c r="Q30" s="591">
        <f t="shared" si="2"/>
        <v>2</v>
      </c>
      <c r="R30" s="590">
        <f t="shared" si="3"/>
        <v>1</v>
      </c>
      <c r="S30" s="590" t="e">
        <f t="shared" si="4"/>
        <v>#DIV/0!</v>
      </c>
      <c r="T30" s="590" t="e">
        <f t="shared" si="10"/>
        <v>#DIV/0!</v>
      </c>
      <c r="U30" s="591">
        <f t="shared" si="11"/>
        <v>2</v>
      </c>
      <c r="V30" s="713"/>
    </row>
    <row r="31" spans="1:22" ht="18" customHeight="1" x14ac:dyDescent="0.25">
      <c r="A31" s="623"/>
      <c r="B31" s="466">
        <v>1.5</v>
      </c>
      <c r="C31" s="467">
        <v>37.5</v>
      </c>
      <c r="D31" s="540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2"/>
      <c r="N31" s="590" t="e">
        <f t="shared" si="1"/>
        <v>#DIV/0!</v>
      </c>
      <c r="O31" s="590" t="e">
        <f t="shared" si="8"/>
        <v>#DIV/0!</v>
      </c>
      <c r="P31" s="590" t="e">
        <f t="shared" si="9"/>
        <v>#DIV/0!</v>
      </c>
      <c r="Q31" s="591">
        <f t="shared" si="2"/>
        <v>1.5</v>
      </c>
      <c r="R31" s="590">
        <f t="shared" si="3"/>
        <v>1</v>
      </c>
      <c r="S31" s="590" t="e">
        <f t="shared" si="4"/>
        <v>#DIV/0!</v>
      </c>
      <c r="T31" s="590" t="e">
        <f t="shared" si="10"/>
        <v>#DIV/0!</v>
      </c>
      <c r="U31" s="591">
        <f t="shared" si="11"/>
        <v>1.5</v>
      </c>
      <c r="V31" s="713"/>
    </row>
    <row r="32" spans="1:22" ht="18" customHeight="1" x14ac:dyDescent="0.25">
      <c r="A32" s="623"/>
      <c r="B32" s="465">
        <v>1</v>
      </c>
      <c r="C32" s="462">
        <v>25</v>
      </c>
      <c r="D32" s="540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2"/>
      <c r="N32" s="590" t="e">
        <f t="shared" si="1"/>
        <v>#DIV/0!</v>
      </c>
      <c r="O32" s="590" t="e">
        <f t="shared" si="8"/>
        <v>#DIV/0!</v>
      </c>
      <c r="P32" s="590" t="e">
        <f t="shared" si="9"/>
        <v>#DIV/0!</v>
      </c>
      <c r="Q32" s="591">
        <f t="shared" si="2"/>
        <v>1</v>
      </c>
      <c r="R32" s="590">
        <f t="shared" si="3"/>
        <v>1</v>
      </c>
      <c r="S32" s="590" t="e">
        <f t="shared" si="4"/>
        <v>#DIV/0!</v>
      </c>
      <c r="T32" s="590" t="e">
        <f t="shared" si="10"/>
        <v>#DIV/0!</v>
      </c>
      <c r="U32" s="591">
        <f t="shared" si="11"/>
        <v>1</v>
      </c>
      <c r="V32" s="713"/>
    </row>
    <row r="33" spans="1:22" ht="18" customHeight="1" x14ac:dyDescent="0.25">
      <c r="A33" s="623"/>
      <c r="B33" s="466">
        <v>0.75</v>
      </c>
      <c r="C33" s="462">
        <v>19</v>
      </c>
      <c r="D33" s="540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2"/>
      <c r="N33" s="590" t="e">
        <f t="shared" si="1"/>
        <v>#DIV/0!</v>
      </c>
      <c r="O33" s="590" t="e">
        <f t="shared" si="8"/>
        <v>#DIV/0!</v>
      </c>
      <c r="P33" s="590" t="e">
        <f t="shared" si="9"/>
        <v>#DIV/0!</v>
      </c>
      <c r="Q33" s="592">
        <f t="shared" si="2"/>
        <v>0.75</v>
      </c>
      <c r="R33" s="590">
        <f t="shared" si="3"/>
        <v>1</v>
      </c>
      <c r="S33" s="590" t="e">
        <f t="shared" si="4"/>
        <v>#DIV/0!</v>
      </c>
      <c r="T33" s="590" t="e">
        <f t="shared" si="10"/>
        <v>#DIV/0!</v>
      </c>
      <c r="U33" s="592">
        <f t="shared" si="11"/>
        <v>0.75</v>
      </c>
      <c r="V33" s="713"/>
    </row>
    <row r="34" spans="1:22" ht="18" customHeight="1" x14ac:dyDescent="0.25">
      <c r="A34" s="623"/>
      <c r="B34" s="466">
        <v>0.5</v>
      </c>
      <c r="C34" s="467">
        <v>12.5</v>
      </c>
      <c r="D34" s="540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8"/>
      <c r="J34" s="470"/>
      <c r="K34" s="470"/>
      <c r="L34" s="470"/>
      <c r="M34" s="712"/>
      <c r="N34" s="590" t="e">
        <f t="shared" si="1"/>
        <v>#DIV/0!</v>
      </c>
      <c r="O34" s="590" t="e">
        <f t="shared" si="8"/>
        <v>#DIV/0!</v>
      </c>
      <c r="P34" s="590" t="e">
        <f t="shared" si="9"/>
        <v>#DIV/0!</v>
      </c>
      <c r="Q34" s="592">
        <f t="shared" si="2"/>
        <v>0.5</v>
      </c>
      <c r="R34" s="590">
        <f t="shared" si="3"/>
        <v>1</v>
      </c>
      <c r="S34" s="590" t="e">
        <f t="shared" si="4"/>
        <v>#DIV/0!</v>
      </c>
      <c r="T34" s="590" t="e">
        <f t="shared" si="10"/>
        <v>#DIV/0!</v>
      </c>
      <c r="U34" s="592">
        <f t="shared" si="11"/>
        <v>0.5</v>
      </c>
      <c r="V34" s="713"/>
    </row>
    <row r="35" spans="1:22" ht="18" customHeight="1" x14ac:dyDescent="0.25">
      <c r="A35" s="623"/>
      <c r="B35" s="466">
        <v>0.375</v>
      </c>
      <c r="C35" s="467">
        <v>9.5</v>
      </c>
      <c r="D35" s="540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2"/>
      <c r="N35" s="590" t="e">
        <f t="shared" si="1"/>
        <v>#DIV/0!</v>
      </c>
      <c r="O35" s="590" t="e">
        <f t="shared" si="8"/>
        <v>#DIV/0!</v>
      </c>
      <c r="P35" s="590" t="e">
        <f t="shared" si="9"/>
        <v>#DIV/0!</v>
      </c>
      <c r="Q35" s="592">
        <f t="shared" si="2"/>
        <v>0.375</v>
      </c>
      <c r="R35" s="590"/>
      <c r="S35" s="590" t="e">
        <f t="shared" si="4"/>
        <v>#DIV/0!</v>
      </c>
      <c r="T35" s="590" t="e">
        <f t="shared" si="10"/>
        <v>#DIV/0!</v>
      </c>
      <c r="U35" s="592">
        <f t="shared" si="11"/>
        <v>0.375</v>
      </c>
      <c r="V35" s="713"/>
    </row>
    <row r="36" spans="1:22" ht="18" customHeight="1" x14ac:dyDescent="0.25">
      <c r="A36" s="623"/>
      <c r="B36" s="465" t="s">
        <v>20</v>
      </c>
      <c r="C36" s="461">
        <v>4.75</v>
      </c>
      <c r="D36" s="540">
        <v>11.8</v>
      </c>
      <c r="E36" s="449">
        <f t="shared" si="5"/>
        <v>11.799961178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2"/>
      <c r="N36" s="590" t="e">
        <f t="shared" si="1"/>
        <v>#DIV/0!</v>
      </c>
      <c r="O36" s="590" t="e">
        <f t="shared" si="8"/>
        <v>#DIV/0!</v>
      </c>
      <c r="P36" s="590" t="e">
        <f t="shared" si="9"/>
        <v>#DIV/0!</v>
      </c>
      <c r="Q36" s="591" t="str">
        <f t="shared" si="2"/>
        <v>No4</v>
      </c>
      <c r="R36" s="590"/>
      <c r="S36" s="590" t="e">
        <f t="shared" si="4"/>
        <v>#DIV/0!</v>
      </c>
      <c r="T36" s="590" t="e">
        <f t="shared" si="10"/>
        <v>#DIV/0!</v>
      </c>
      <c r="U36" s="591" t="str">
        <f t="shared" si="11"/>
        <v>No4</v>
      </c>
      <c r="V36" s="713"/>
    </row>
    <row r="37" spans="1:22" ht="18" customHeight="1" x14ac:dyDescent="0.25">
      <c r="A37" s="623"/>
      <c r="B37" s="465">
        <v>8</v>
      </c>
      <c r="C37" s="461">
        <v>2.36</v>
      </c>
      <c r="D37" s="540">
        <v>70.5</v>
      </c>
      <c r="E37" s="449">
        <f t="shared" si="5"/>
        <v>70.499768055000004</v>
      </c>
      <c r="F37" s="501" t="b">
        <f>IF($C$10="Fraccionada",E37*$H$36/E$20,IF($C$10="Global",E37/$E$19*100))</f>
        <v>0</v>
      </c>
      <c r="G37" s="502" t="e">
        <f t="shared" si="12"/>
        <v>#DIV/0!</v>
      </c>
      <c r="H37" s="501" t="e">
        <f t="shared" si="7"/>
        <v>#DIV/0!</v>
      </c>
      <c r="I37" s="470"/>
      <c r="J37" s="640"/>
      <c r="K37" s="470"/>
      <c r="L37" s="470"/>
      <c r="M37" s="712"/>
      <c r="N37" s="590" t="e">
        <f>SUM(N28:N36)</f>
        <v>#DIV/0!</v>
      </c>
      <c r="O37" s="590"/>
      <c r="P37" s="590"/>
      <c r="Q37" s="591"/>
      <c r="R37" s="590"/>
      <c r="S37" s="590"/>
      <c r="T37" s="590"/>
      <c r="U37" s="591"/>
      <c r="V37" s="713"/>
    </row>
    <row r="38" spans="1:22" ht="18" customHeight="1" x14ac:dyDescent="0.25">
      <c r="A38" s="623"/>
      <c r="B38" s="465">
        <v>10</v>
      </c>
      <c r="C38" s="462">
        <v>2</v>
      </c>
      <c r="D38" s="540">
        <v>18.8</v>
      </c>
      <c r="E38" s="449">
        <f t="shared" si="5"/>
        <v>18.799938147999999</v>
      </c>
      <c r="F38" s="501" t="b">
        <f>IF($C$10="Fraccionada",E38*$H$36/E$20,IF($C$10="Global",E38/$E$19*100))</f>
        <v>0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2"/>
      <c r="N38" s="714"/>
      <c r="O38" s="590" t="s">
        <v>72</v>
      </c>
      <c r="P38" s="590" t="e">
        <f>MAX(P28:P36)</f>
        <v>#DIV/0!</v>
      </c>
      <c r="Q38" s="714"/>
      <c r="R38" s="715"/>
      <c r="S38" s="590" t="s">
        <v>72</v>
      </c>
      <c r="T38" s="590" t="e">
        <f>MAX(T28:T36)</f>
        <v>#DIV/0!</v>
      </c>
      <c r="U38" s="715"/>
      <c r="V38" s="713"/>
    </row>
    <row r="39" spans="1:22" ht="18" customHeight="1" x14ac:dyDescent="0.25">
      <c r="A39" s="623"/>
      <c r="B39" s="465">
        <v>16</v>
      </c>
      <c r="C39" s="461">
        <v>1.18</v>
      </c>
      <c r="D39" s="540">
        <v>79.8</v>
      </c>
      <c r="E39" s="449">
        <f t="shared" si="5"/>
        <v>79.799737457999996</v>
      </c>
      <c r="F39" s="501" t="b">
        <f t="shared" ref="F39:F45" si="13">IF($C$10="Fraccionada",E39*$H$36/E$20,IF($C$10="Global",E39/$E$19*100))</f>
        <v>0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2"/>
      <c r="N39" s="714"/>
      <c r="O39" s="590" t="s">
        <v>65</v>
      </c>
      <c r="P39" s="590" t="e">
        <f>IF(N37=0,"&lt;No .4",VLOOKUP(1,N28:Q36,4,0))</f>
        <v>#DIV/0!</v>
      </c>
      <c r="Q39" s="714"/>
      <c r="R39" s="715"/>
      <c r="S39" s="590" t="s">
        <v>73</v>
      </c>
      <c r="T39" s="590" t="e">
        <f>VLOOKUP(T38,T28:U36,2,0)</f>
        <v>#DIV/0!</v>
      </c>
      <c r="U39" s="715"/>
      <c r="V39" s="713"/>
    </row>
    <row r="40" spans="1:22" ht="18" customHeight="1" x14ac:dyDescent="0.25">
      <c r="A40" s="623"/>
      <c r="B40" s="465">
        <v>30</v>
      </c>
      <c r="C40" s="468">
        <v>0.6</v>
      </c>
      <c r="D40" s="540">
        <v>80.8</v>
      </c>
      <c r="E40" s="449">
        <f t="shared" si="5"/>
        <v>80.799734168000001</v>
      </c>
      <c r="F40" s="501" t="b">
        <f t="shared" si="13"/>
        <v>0</v>
      </c>
      <c r="G40" s="502" t="e">
        <f t="shared" si="12"/>
        <v>#DIV/0!</v>
      </c>
      <c r="H40" s="501" t="e">
        <f t="shared" si="7"/>
        <v>#DIV/0!</v>
      </c>
      <c r="I40" s="470"/>
      <c r="J40" s="634"/>
      <c r="K40" s="470"/>
      <c r="L40" s="470"/>
      <c r="M40" s="716"/>
      <c r="N40" s="717"/>
      <c r="Q40" s="717"/>
      <c r="V40" s="713"/>
    </row>
    <row r="41" spans="1:22" ht="18" customHeight="1" x14ac:dyDescent="0.25">
      <c r="A41" s="623"/>
      <c r="B41" s="465">
        <v>40</v>
      </c>
      <c r="C41" s="468">
        <v>0.42499999999999999</v>
      </c>
      <c r="D41" s="540">
        <v>31</v>
      </c>
      <c r="E41" s="449">
        <f t="shared" si="5"/>
        <v>30.999898009999999</v>
      </c>
      <c r="F41" s="501" t="b">
        <f t="shared" si="13"/>
        <v>0</v>
      </c>
      <c r="G41" s="502" t="e">
        <f t="shared" si="12"/>
        <v>#DIV/0!</v>
      </c>
      <c r="H41" s="501" t="e">
        <f t="shared" si="7"/>
        <v>#DIV/0!</v>
      </c>
      <c r="I41" s="470"/>
      <c r="J41" s="634"/>
      <c r="K41" s="83"/>
      <c r="L41" s="85"/>
      <c r="M41" s="718"/>
      <c r="N41" s="719"/>
      <c r="O41" s="719"/>
      <c r="P41" s="719"/>
      <c r="Q41" s="719"/>
      <c r="R41" s="719"/>
      <c r="S41" s="719"/>
      <c r="T41" s="719"/>
      <c r="U41" s="719"/>
      <c r="V41" s="720"/>
    </row>
    <row r="42" spans="1:22" ht="18" customHeight="1" x14ac:dyDescent="0.25">
      <c r="A42" s="623"/>
      <c r="B42" s="465">
        <v>50</v>
      </c>
      <c r="C42" s="468">
        <v>0.3</v>
      </c>
      <c r="D42" s="540">
        <v>21.5</v>
      </c>
      <c r="E42" s="449">
        <f t="shared" si="5"/>
        <v>21.499929264999999</v>
      </c>
      <c r="F42" s="501" t="b">
        <f t="shared" si="13"/>
        <v>0</v>
      </c>
      <c r="G42" s="502" t="e">
        <f t="shared" si="12"/>
        <v>#DIV/0!</v>
      </c>
      <c r="H42" s="501" t="e">
        <f t="shared" si="7"/>
        <v>#DIV/0!</v>
      </c>
      <c r="I42" s="470"/>
      <c r="J42" s="617"/>
      <c r="K42" s="617"/>
      <c r="L42" s="470"/>
    </row>
    <row r="43" spans="1:22" ht="18" customHeight="1" x14ac:dyDescent="0.25">
      <c r="A43" s="623"/>
      <c r="B43" s="465">
        <v>100</v>
      </c>
      <c r="C43" s="468">
        <v>0.15</v>
      </c>
      <c r="D43" s="540">
        <v>30.8</v>
      </c>
      <c r="E43" s="449">
        <f t="shared" si="5"/>
        <v>30.799898668000001</v>
      </c>
      <c r="F43" s="501" t="b">
        <f t="shared" si="13"/>
        <v>0</v>
      </c>
      <c r="G43" s="502" t="e">
        <f t="shared" si="12"/>
        <v>#DIV/0!</v>
      </c>
      <c r="H43" s="501" t="e">
        <f t="shared" si="7"/>
        <v>#DIV/0!</v>
      </c>
      <c r="I43" s="470"/>
      <c r="J43" s="617"/>
      <c r="K43" s="639"/>
      <c r="L43" s="617"/>
    </row>
    <row r="44" spans="1:22" ht="18" customHeight="1" x14ac:dyDescent="0.25">
      <c r="A44" s="623"/>
      <c r="B44" s="465">
        <v>200</v>
      </c>
      <c r="C44" s="468">
        <v>7.4999999999999997E-2</v>
      </c>
      <c r="D44" s="540">
        <v>14.9</v>
      </c>
      <c r="E44" s="449">
        <f t="shared" si="5"/>
        <v>14.899950979</v>
      </c>
      <c r="F44" s="501" t="b">
        <f t="shared" si="13"/>
        <v>0</v>
      </c>
      <c r="G44" s="502" t="e">
        <f t="shared" si="12"/>
        <v>#DIV/0!</v>
      </c>
      <c r="H44" s="501" t="e">
        <f t="shared" si="7"/>
        <v>#DIV/0!</v>
      </c>
      <c r="I44" s="470"/>
      <c r="J44" s="640"/>
      <c r="K44" s="622"/>
      <c r="L44" s="617"/>
    </row>
    <row r="45" spans="1:22" ht="18" customHeight="1" x14ac:dyDescent="0.25">
      <c r="A45" s="623"/>
      <c r="B45" s="637" t="s">
        <v>34</v>
      </c>
      <c r="C45" s="465"/>
      <c r="D45" s="540">
        <v>0</v>
      </c>
      <c r="E45" s="449">
        <f t="shared" si="5"/>
        <v>0</v>
      </c>
      <c r="F45" s="501" t="b">
        <f t="shared" si="13"/>
        <v>0</v>
      </c>
      <c r="G45" s="502" t="e">
        <f>+G44+H44</f>
        <v>#DIV/0!</v>
      </c>
      <c r="H45" s="501"/>
      <c r="I45" s="470"/>
      <c r="J45" s="617"/>
      <c r="K45" s="622"/>
      <c r="L45" s="641"/>
    </row>
    <row r="46" spans="1:22" ht="18" customHeight="1" x14ac:dyDescent="0.25">
      <c r="A46" s="623"/>
      <c r="B46" s="477"/>
      <c r="C46" s="477"/>
      <c r="D46" s="464"/>
      <c r="E46" s="477"/>
      <c r="F46" s="642"/>
      <c r="G46" s="642"/>
      <c r="H46" s="643"/>
      <c r="I46" s="617"/>
      <c r="J46" s="617"/>
      <c r="K46" s="622"/>
      <c r="L46" s="617"/>
    </row>
    <row r="47" spans="1:22" ht="18" customHeight="1" x14ac:dyDescent="0.25">
      <c r="A47" s="451"/>
      <c r="B47" s="464"/>
      <c r="C47" s="870" t="s">
        <v>294</v>
      </c>
      <c r="D47" s="870"/>
      <c r="E47" s="870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3" t="s">
        <v>259</v>
      </c>
      <c r="D48" s="479" t="s">
        <v>293</v>
      </c>
      <c r="E48" s="479" t="s">
        <v>292</v>
      </c>
      <c r="H48" s="464"/>
    </row>
    <row r="49" spans="1:12" ht="18" customHeight="1" x14ac:dyDescent="0.25">
      <c r="A49" s="451"/>
      <c r="B49" s="464"/>
      <c r="C49" s="594">
        <v>0.375</v>
      </c>
      <c r="D49" s="595">
        <v>1000</v>
      </c>
      <c r="E49" s="540"/>
      <c r="G49" s="596"/>
      <c r="H49" s="464"/>
      <c r="I49" s="440"/>
      <c r="J49" s="440"/>
      <c r="L49" s="440"/>
    </row>
    <row r="50" spans="1:12" ht="18" customHeight="1" x14ac:dyDescent="0.25">
      <c r="A50" s="451"/>
      <c r="B50" s="454"/>
      <c r="C50" s="594">
        <v>0.5</v>
      </c>
      <c r="D50" s="595">
        <v>2000</v>
      </c>
      <c r="E50" s="540"/>
      <c r="G50" s="596"/>
      <c r="H50" s="464"/>
      <c r="I50" s="440"/>
      <c r="J50" s="440"/>
      <c r="L50" s="440"/>
    </row>
    <row r="51" spans="1:12" ht="18" customHeight="1" x14ac:dyDescent="0.25">
      <c r="A51" s="451"/>
      <c r="B51" s="454"/>
      <c r="C51" s="594">
        <v>0.75</v>
      </c>
      <c r="D51" s="595">
        <v>5000</v>
      </c>
      <c r="E51" s="540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4">
        <v>1</v>
      </c>
      <c r="D52" s="595">
        <v>10000</v>
      </c>
      <c r="E52" s="540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4">
        <v>1.5</v>
      </c>
      <c r="D53" s="595">
        <v>15000</v>
      </c>
      <c r="E53" s="540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4">
        <v>2</v>
      </c>
      <c r="D54" s="595">
        <v>20000</v>
      </c>
      <c r="E54" s="540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4">
        <v>2.5</v>
      </c>
      <c r="D55" s="595">
        <v>35000</v>
      </c>
      <c r="E55" s="540"/>
      <c r="H55" s="464"/>
      <c r="I55" s="440"/>
      <c r="J55" s="440"/>
      <c r="K55" s="440"/>
      <c r="L55" s="440"/>
    </row>
    <row r="56" spans="1:12" ht="18" customHeight="1" x14ac:dyDescent="0.25">
      <c r="B56" s="454"/>
      <c r="C56" s="597">
        <v>3</v>
      </c>
      <c r="D56" s="598">
        <v>60000</v>
      </c>
      <c r="E56" s="540"/>
      <c r="H56" s="464"/>
      <c r="I56" s="440"/>
      <c r="J56" s="440"/>
      <c r="K56" s="440"/>
      <c r="L56" s="440"/>
    </row>
    <row r="57" spans="1:12" ht="18" customHeight="1" x14ac:dyDescent="0.25">
      <c r="B57" s="454"/>
      <c r="C57" s="599"/>
      <c r="D57" s="600" t="s">
        <v>150</v>
      </c>
      <c r="E57" s="601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2"/>
      <c r="D58" s="603" t="s">
        <v>151</v>
      </c>
      <c r="E58" s="604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5"/>
      <c r="D59" s="606" t="s">
        <v>152</v>
      </c>
      <c r="E59" s="607" t="e">
        <f>IF(E16="","",IF(AND(E49="",E50="",E51="",E52="",E53="",E54="",E55="",E56=""),"Falta Especificar Tmax",IF(E16="","",IF(E16&gt;=E58,"Cumple","No cumple- Repetir ensayo"))))</f>
        <v>#DIV/0!</v>
      </c>
      <c r="G59" s="608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313</v>
      </c>
      <c r="I60" s="440"/>
      <c r="J60" s="440"/>
      <c r="K60" s="440"/>
      <c r="L60" s="440"/>
    </row>
    <row r="61" spans="1:12" ht="16.5" customHeight="1" x14ac:dyDescent="0.25">
      <c r="B61" s="454"/>
      <c r="C61" s="871" t="s">
        <v>295</v>
      </c>
      <c r="D61" s="872"/>
      <c r="E61" s="607" t="str">
        <f>IF(E19&gt;=300,"Cumple","No cumple")</f>
        <v>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algorithmName="SHA-512" hashValue="rVx5rV3+cPVKGGVtiIc+8GRwN17UdcXICeoKaloQg6ha1ohISsMObtq/4m/tgD8Op5CeK+HySrHvKCXGRpKSgQ==" saltValue="+mwCAzhni0q5qX/2GOS1ew==" spinCount="100000" sheet="1" objects="1" scenario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28" zoomScale="90" zoomScaleNormal="90" workbookViewId="0">
      <selection activeCell="G31" sqref="G31"/>
    </sheetView>
  </sheetViews>
  <sheetFormatPr baseColWidth="10" defaultColWidth="11.42578125" defaultRowHeight="12" x14ac:dyDescent="0.2"/>
  <cols>
    <col min="1" max="1" width="28.5703125" style="390" customWidth="1"/>
    <col min="2" max="2" width="11.5703125" style="390" bestFit="1" customWidth="1"/>
    <col min="3" max="3" width="11.5703125" style="390" customWidth="1"/>
    <col min="4" max="4" width="11.42578125" style="390"/>
    <col min="5" max="8" width="11.5703125" style="390" bestFit="1" customWidth="1"/>
    <col min="9" max="9" width="14.42578125" style="390" bestFit="1" customWidth="1"/>
    <col min="10" max="10" width="11.5703125" style="390" bestFit="1" customWidth="1"/>
    <col min="11" max="11" width="15.5703125" style="390" customWidth="1"/>
    <col min="12" max="16384" width="11.42578125" style="390"/>
  </cols>
  <sheetData>
    <row r="1" spans="1:11" ht="12.75" customHeight="1" x14ac:dyDescent="0.2">
      <c r="A1" s="900"/>
      <c r="B1" s="891" t="s">
        <v>235</v>
      </c>
      <c r="C1" s="892"/>
      <c r="D1" s="892"/>
      <c r="E1" s="892"/>
      <c r="F1" s="892"/>
      <c r="G1" s="892"/>
      <c r="H1" s="892"/>
      <c r="I1" s="893"/>
      <c r="J1" s="400" t="s">
        <v>234</v>
      </c>
      <c r="K1" s="400" t="s">
        <v>233</v>
      </c>
    </row>
    <row r="2" spans="1:11" ht="12.75" customHeight="1" x14ac:dyDescent="0.2">
      <c r="A2" s="901"/>
      <c r="B2" s="894"/>
      <c r="C2" s="895"/>
      <c r="D2" s="895"/>
      <c r="E2" s="895"/>
      <c r="F2" s="895"/>
      <c r="G2" s="895"/>
      <c r="H2" s="895"/>
      <c r="I2" s="896"/>
      <c r="J2" s="400" t="s">
        <v>232</v>
      </c>
      <c r="K2" s="401">
        <v>3</v>
      </c>
    </row>
    <row r="3" spans="1:11" ht="12.75" customHeight="1" x14ac:dyDescent="0.2">
      <c r="A3" s="901"/>
      <c r="B3" s="894"/>
      <c r="C3" s="895"/>
      <c r="D3" s="895"/>
      <c r="E3" s="895"/>
      <c r="F3" s="895"/>
      <c r="G3" s="895"/>
      <c r="H3" s="895"/>
      <c r="I3" s="896"/>
      <c r="J3" s="400" t="s">
        <v>231</v>
      </c>
      <c r="K3" s="785">
        <v>46146</v>
      </c>
    </row>
    <row r="4" spans="1:11" ht="12.75" customHeight="1" x14ac:dyDescent="0.2">
      <c r="A4" s="902"/>
      <c r="B4" s="897"/>
      <c r="C4" s="898"/>
      <c r="D4" s="898"/>
      <c r="E4" s="898"/>
      <c r="F4" s="898"/>
      <c r="G4" s="898"/>
      <c r="H4" s="898"/>
      <c r="I4" s="899"/>
      <c r="J4" s="400" t="s">
        <v>230</v>
      </c>
      <c r="K4" s="400" t="s">
        <v>229</v>
      </c>
    </row>
    <row r="6" spans="1:11" ht="18" customHeight="1" x14ac:dyDescent="0.2">
      <c r="A6" s="575" t="s">
        <v>228</v>
      </c>
      <c r="B6" s="576" t="s">
        <v>128</v>
      </c>
      <c r="C6" s="577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5" t="s">
        <v>227</v>
      </c>
      <c r="B7" s="576" t="s">
        <v>353</v>
      </c>
      <c r="C7" s="577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5" t="s">
        <v>226</v>
      </c>
      <c r="B8" s="576" t="s">
        <v>236</v>
      </c>
      <c r="C8" s="577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8" t="s">
        <v>464</v>
      </c>
      <c r="B9" s="576" t="s">
        <v>273</v>
      </c>
      <c r="C9" s="577"/>
      <c r="D9" s="402"/>
      <c r="E9" s="402"/>
      <c r="F9" s="402"/>
      <c r="G9" s="388"/>
      <c r="H9" s="388"/>
      <c r="I9" s="388"/>
      <c r="J9" s="388"/>
      <c r="K9" s="398"/>
    </row>
    <row r="11" spans="1:11" ht="12.75" x14ac:dyDescent="0.2">
      <c r="A11" s="492" t="s">
        <v>465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2.75" x14ac:dyDescent="0.2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2.75" x14ac:dyDescent="0.2">
      <c r="A13" s="572" t="s">
        <v>311</v>
      </c>
      <c r="B13" s="503"/>
      <c r="C13" s="399"/>
      <c r="D13" s="491"/>
      <c r="E13" s="491"/>
      <c r="F13" s="572" t="s">
        <v>312</v>
      </c>
      <c r="G13" s="491"/>
      <c r="H13" s="491"/>
      <c r="I13" s="491"/>
      <c r="J13" s="491"/>
      <c r="K13" s="491"/>
    </row>
    <row r="14" spans="1:11" ht="12.75" x14ac:dyDescent="0.2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2.75" x14ac:dyDescent="0.2">
      <c r="A15" s="573" t="s">
        <v>350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2.75" x14ac:dyDescent="0.2">
      <c r="A16" s="573" t="s">
        <v>351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2.75" x14ac:dyDescent="0.2">
      <c r="A17" s="573" t="s">
        <v>352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2.75" x14ac:dyDescent="0.2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2.75" x14ac:dyDescent="0.2">
      <c r="A19" s="572" t="s">
        <v>314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2.75" x14ac:dyDescent="0.2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2.75" x14ac:dyDescent="0.2">
      <c r="A21" s="574" t="s">
        <v>316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2.75" x14ac:dyDescent="0.2">
      <c r="A22" s="574" t="s">
        <v>317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2.75" x14ac:dyDescent="0.2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2.75" x14ac:dyDescent="0.2">
      <c r="A24" s="492" t="s">
        <v>315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2.75" x14ac:dyDescent="0.2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2.75" x14ac:dyDescent="0.2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2.75" x14ac:dyDescent="0.2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2.75" x14ac:dyDescent="0.2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2.75" x14ac:dyDescent="0.2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90" t="s">
        <v>466</v>
      </c>
      <c r="B35" s="890"/>
      <c r="C35" s="890"/>
      <c r="D35" s="890"/>
      <c r="E35" s="890"/>
      <c r="F35" s="890"/>
      <c r="G35" s="890"/>
      <c r="H35" s="890"/>
      <c r="I35" s="890"/>
    </row>
    <row r="36" spans="1:14" ht="39" x14ac:dyDescent="0.2">
      <c r="A36" s="397" t="s">
        <v>225</v>
      </c>
      <c r="B36" s="397" t="s">
        <v>224</v>
      </c>
      <c r="C36" s="397" t="s">
        <v>349</v>
      </c>
      <c r="D36" s="397" t="s">
        <v>223</v>
      </c>
      <c r="E36" s="397" t="s">
        <v>274</v>
      </c>
      <c r="F36" s="397" t="s">
        <v>222</v>
      </c>
      <c r="G36" s="397" t="s">
        <v>275</v>
      </c>
      <c r="H36" s="397" t="s">
        <v>221</v>
      </c>
      <c r="I36" s="397" t="s">
        <v>220</v>
      </c>
      <c r="N36" s="569"/>
    </row>
    <row r="37" spans="1:14" ht="12.75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219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#VALUE!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8" t="s">
        <v>322</v>
      </c>
      <c r="B40" s="525">
        <f>+Balanza!D30</f>
        <v>0</v>
      </c>
      <c r="C40" s="404"/>
      <c r="D40" s="405" t="s">
        <v>189</v>
      </c>
      <c r="E40" s="406" t="e">
        <f>SQRT((E41*E41)+(E42*E42)+(E43*E43))</f>
        <v>#VALUE!</v>
      </c>
      <c r="F40" s="407" t="e">
        <f>(100/B44)</f>
        <v>#DIV/0!</v>
      </c>
      <c r="G40" s="408" t="e">
        <f>(E40*F40)</f>
        <v>#VALUE!</v>
      </c>
      <c r="H40" s="389"/>
      <c r="J40" s="387"/>
    </row>
    <row r="41" spans="1:14" ht="19.5" customHeight="1" x14ac:dyDescent="0.2">
      <c r="A41" s="409" t="s">
        <v>188</v>
      </c>
      <c r="B41" s="410"/>
      <c r="C41" s="411">
        <f>Balanza!E30</f>
        <v>0</v>
      </c>
      <c r="D41" s="412" t="s">
        <v>187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186</v>
      </c>
      <c r="B42" s="410"/>
      <c r="C42" s="416">
        <f>2*(SQRT(Balanza!$B$9+Balanza!$C$9*(POWER(B40,2))))</f>
        <v>0.12899612397277679</v>
      </c>
      <c r="D42" s="412" t="s">
        <v>185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#VALUE!</v>
      </c>
    </row>
    <row r="43" spans="1:14" ht="19.5" customHeight="1" x14ac:dyDescent="0.2">
      <c r="A43" s="409" t="s">
        <v>184</v>
      </c>
      <c r="B43" s="410"/>
      <c r="C43" s="411" t="s">
        <v>179</v>
      </c>
      <c r="D43" s="412" t="s">
        <v>183</v>
      </c>
      <c r="E43" s="413" t="e">
        <f>(C43/SQRT(3)/2)</f>
        <v>#VALUE!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190</v>
      </c>
      <c r="B44" s="417" t="b">
        <f>+Balanza!$C$26</f>
        <v>0</v>
      </c>
      <c r="C44" s="417"/>
      <c r="D44" s="405" t="s">
        <v>189</v>
      </c>
      <c r="E44" s="406" t="e">
        <f>SQRT((E45*E45)+(E46*E46)+(E47*E47))</f>
        <v>#VALUE!</v>
      </c>
      <c r="F44" s="407" t="e">
        <f>(100*B40)/POWER(B44,2)</f>
        <v>#DIV/0!</v>
      </c>
      <c r="G44" s="408" t="e">
        <f>(E44*F44)</f>
        <v>#VALUE!</v>
      </c>
      <c r="H44" s="387"/>
      <c r="I44" s="393" t="str">
        <f>A44</f>
        <v>M total (g)</v>
      </c>
      <c r="J44" s="394" t="e">
        <f>G44</f>
        <v>#VALUE!</v>
      </c>
    </row>
    <row r="45" spans="1:14" ht="19.5" customHeight="1" x14ac:dyDescent="0.2">
      <c r="A45" s="409" t="s">
        <v>188</v>
      </c>
      <c r="B45" s="410"/>
      <c r="C45" s="411">
        <f>+Balanza!$D$26</f>
        <v>0</v>
      </c>
      <c r="D45" s="412" t="s">
        <v>187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186</v>
      </c>
      <c r="B46" s="410"/>
      <c r="C46" s="416">
        <f>2*(SQRT(Balanza!$B$9+Balanza!$C$9*(POWER(B44,2))))</f>
        <v>0.12899612397277679</v>
      </c>
      <c r="D46" s="412" t="s">
        <v>185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184</v>
      </c>
      <c r="B47" s="410"/>
      <c r="C47" s="411" t="s">
        <v>179</v>
      </c>
      <c r="D47" s="412" t="s">
        <v>183</v>
      </c>
      <c r="E47" s="413" t="e">
        <f>(C47/SQRT(3)/2)</f>
        <v>#VALUE!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218</v>
      </c>
      <c r="B48" s="404">
        <v>75</v>
      </c>
      <c r="C48" s="404"/>
      <c r="D48" s="405" t="s">
        <v>189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186</v>
      </c>
      <c r="B49" s="410"/>
      <c r="C49" s="419">
        <f>+Balanza!L28</f>
        <v>1.7999999999999999E-2</v>
      </c>
      <c r="D49" s="412" t="s">
        <v>185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217</v>
      </c>
      <c r="B50" s="421">
        <f>+Balanza!B53</f>
        <v>0</v>
      </c>
      <c r="C50" s="421"/>
      <c r="D50" s="422" t="s">
        <v>181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239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#VALUE!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323</v>
      </c>
      <c r="B54" s="524">
        <f>+Balanza!D31</f>
        <v>0</v>
      </c>
      <c r="C54" s="404"/>
      <c r="D54" s="405" t="s">
        <v>189</v>
      </c>
      <c r="E54" s="406" t="e">
        <f>SQRT((E55*E55)+(E56*E56)+(E57*E57))</f>
        <v>#VALUE!</v>
      </c>
      <c r="F54" s="407" t="e">
        <f>(100/B58)</f>
        <v>#DIV/0!</v>
      </c>
      <c r="G54" s="408" t="e">
        <f>(E54*F54)</f>
        <v>#VALUE!</v>
      </c>
      <c r="H54" s="389"/>
      <c r="J54" s="387"/>
    </row>
    <row r="55" spans="1:10" ht="19.5" customHeight="1" x14ac:dyDescent="0.2">
      <c r="A55" s="409" t="s">
        <v>188</v>
      </c>
      <c r="B55" s="410"/>
      <c r="C55" s="411">
        <f>Balanza!E31</f>
        <v>0</v>
      </c>
      <c r="D55" s="412" t="s">
        <v>187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186</v>
      </c>
      <c r="B56" s="410"/>
      <c r="C56" s="416">
        <f>2*(SQRT(Balanza!$B$9+Balanza!$C$9*(POWER(B54,2))))</f>
        <v>0.12899612397277679</v>
      </c>
      <c r="D56" s="412" t="s">
        <v>185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#VALUE!</v>
      </c>
    </row>
    <row r="57" spans="1:10" ht="19.5" customHeight="1" x14ac:dyDescent="0.2">
      <c r="A57" s="409" t="s">
        <v>184</v>
      </c>
      <c r="B57" s="410"/>
      <c r="C57" s="411" t="s">
        <v>179</v>
      </c>
      <c r="D57" s="412" t="s">
        <v>183</v>
      </c>
      <c r="E57" s="413" t="e">
        <f>(C57/SQRT(3)/2)</f>
        <v>#VALUE!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190</v>
      </c>
      <c r="B58" s="417" t="b">
        <f>+Balanza!$C$26</f>
        <v>0</v>
      </c>
      <c r="C58" s="417"/>
      <c r="D58" s="405" t="s">
        <v>189</v>
      </c>
      <c r="E58" s="406" t="e">
        <f>SQRT((E59*E59)+(E60*E60)+(E61*E61))</f>
        <v>#VALUE!</v>
      </c>
      <c r="F58" s="407" t="e">
        <f>(100*B54)/POWER(B58,2)</f>
        <v>#DIV/0!</v>
      </c>
      <c r="G58" s="408" t="e">
        <f>(E58*F58)</f>
        <v>#VALUE!</v>
      </c>
      <c r="H58" s="387"/>
      <c r="I58" s="393" t="str">
        <f>A58</f>
        <v>M total (g)</v>
      </c>
      <c r="J58" s="394" t="e">
        <f>G58</f>
        <v>#VALUE!</v>
      </c>
    </row>
    <row r="59" spans="1:10" ht="19.5" customHeight="1" x14ac:dyDescent="0.2">
      <c r="A59" s="409" t="s">
        <v>188</v>
      </c>
      <c r="B59" s="410"/>
      <c r="C59" s="411">
        <f>+Balanza!$D$26</f>
        <v>0</v>
      </c>
      <c r="D59" s="412" t="s">
        <v>187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186</v>
      </c>
      <c r="B60" s="410"/>
      <c r="C60" s="416">
        <f>2*(SQRT(Balanza!$B$9+Balanza!$C$9*(POWER(B58,2))))</f>
        <v>0.12899612397277679</v>
      </c>
      <c r="D60" s="412" t="s">
        <v>185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184</v>
      </c>
      <c r="B61" s="410"/>
      <c r="C61" s="411" t="s">
        <v>179</v>
      </c>
      <c r="D61" s="412" t="s">
        <v>183</v>
      </c>
      <c r="E61" s="413" t="e">
        <f>(C61/SQRT(3)/2)</f>
        <v>#VALUE!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240</v>
      </c>
      <c r="B62" s="404">
        <v>63.5</v>
      </c>
      <c r="C62" s="404"/>
      <c r="D62" s="405" t="s">
        <v>189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186</v>
      </c>
      <c r="B63" s="410"/>
      <c r="C63" s="419">
        <f>+Balanza!L29</f>
        <v>1.7999999999999999E-2</v>
      </c>
      <c r="D63" s="412" t="s">
        <v>185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241</v>
      </c>
      <c r="B64" s="421">
        <f>+Balanza!B54</f>
        <v>0</v>
      </c>
      <c r="C64" s="421"/>
      <c r="D64" s="422" t="s">
        <v>181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216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#VALUE!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324</v>
      </c>
      <c r="B68" s="524">
        <f>+Balanza!D32</f>
        <v>0</v>
      </c>
      <c r="C68" s="404"/>
      <c r="D68" s="405" t="s">
        <v>189</v>
      </c>
      <c r="E68" s="406" t="e">
        <f>SQRT((E69*E69)+(E70*E70)+(E71*E71))</f>
        <v>#VALUE!</v>
      </c>
      <c r="F68" s="407" t="e">
        <f>(100/B72)</f>
        <v>#DIV/0!</v>
      </c>
      <c r="G68" s="408" t="e">
        <f>(E68*F68)</f>
        <v>#VALUE!</v>
      </c>
      <c r="H68" s="389"/>
      <c r="J68" s="387"/>
    </row>
    <row r="69" spans="1:10" ht="19.5" customHeight="1" x14ac:dyDescent="0.2">
      <c r="A69" s="409" t="s">
        <v>188</v>
      </c>
      <c r="B69" s="410"/>
      <c r="C69" s="411">
        <f>Balanza!E32</f>
        <v>0</v>
      </c>
      <c r="D69" s="412" t="s">
        <v>187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186</v>
      </c>
      <c r="B70" s="410"/>
      <c r="C70" s="416">
        <f>2*(SQRT(Balanza!$B$9+Balanza!$C$9*(POWER(B68,2))))</f>
        <v>0.12899612397277679</v>
      </c>
      <c r="D70" s="412" t="s">
        <v>185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#VALUE!</v>
      </c>
    </row>
    <row r="71" spans="1:10" ht="19.5" customHeight="1" x14ac:dyDescent="0.2">
      <c r="A71" s="409" t="s">
        <v>184</v>
      </c>
      <c r="B71" s="410"/>
      <c r="C71" s="411" t="s">
        <v>179</v>
      </c>
      <c r="D71" s="412" t="s">
        <v>183</v>
      </c>
      <c r="E71" s="413" t="e">
        <f>(C71/SQRT(3)/2)</f>
        <v>#VALUE!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190</v>
      </c>
      <c r="B72" s="417" t="b">
        <f>+Balanza!$C$26</f>
        <v>0</v>
      </c>
      <c r="C72" s="417"/>
      <c r="D72" s="405" t="s">
        <v>189</v>
      </c>
      <c r="E72" s="406" t="e">
        <f>SQRT((E73*E73)+(E74*E74)+(E75*E75))</f>
        <v>#VALUE!</v>
      </c>
      <c r="F72" s="407" t="e">
        <f>(100*B68)/POWER(B72,2)</f>
        <v>#DIV/0!</v>
      </c>
      <c r="G72" s="408" t="e">
        <f>(E72*F72)</f>
        <v>#VALUE!</v>
      </c>
      <c r="H72" s="387"/>
      <c r="I72" s="393" t="str">
        <f>A72</f>
        <v>M total (g)</v>
      </c>
      <c r="J72" s="394" t="e">
        <f>G72</f>
        <v>#VALUE!</v>
      </c>
    </row>
    <row r="73" spans="1:10" ht="19.5" customHeight="1" x14ac:dyDescent="0.2">
      <c r="A73" s="409" t="s">
        <v>188</v>
      </c>
      <c r="B73" s="410"/>
      <c r="C73" s="411">
        <f>+Balanza!$D$26</f>
        <v>0</v>
      </c>
      <c r="D73" s="412" t="s">
        <v>187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186</v>
      </c>
      <c r="B74" s="410"/>
      <c r="C74" s="416">
        <f>2*(SQRT(Balanza!$B$9+Balanza!$C$9*(POWER(B72,2))))</f>
        <v>0.12899612397277679</v>
      </c>
      <c r="D74" s="412" t="s">
        <v>185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184</v>
      </c>
      <c r="B75" s="410"/>
      <c r="C75" s="411" t="s">
        <v>179</v>
      </c>
      <c r="D75" s="412" t="s">
        <v>183</v>
      </c>
      <c r="E75" s="413" t="e">
        <f>(C75/SQRT(3)/2)</f>
        <v>#VALUE!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215</v>
      </c>
      <c r="B76" s="404">
        <v>50</v>
      </c>
      <c r="C76" s="404"/>
      <c r="D76" s="405" t="s">
        <v>189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186</v>
      </c>
      <c r="B77" s="410"/>
      <c r="C77" s="419">
        <f>+Balanza!L30</f>
        <v>1.7999999999999999E-2</v>
      </c>
      <c r="D77" s="412" t="s">
        <v>185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214</v>
      </c>
      <c r="B78" s="421">
        <f>+Balanza!B55</f>
        <v>0</v>
      </c>
      <c r="C78" s="421"/>
      <c r="D78" s="422" t="s">
        <v>181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213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#VALUE!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325</v>
      </c>
      <c r="B82" s="524">
        <f>+Balanza!D33</f>
        <v>0</v>
      </c>
      <c r="C82" s="404"/>
      <c r="D82" s="405" t="s">
        <v>189</v>
      </c>
      <c r="E82" s="406" t="e">
        <f>SQRT((E83*E83)+(E84*E84)+(E85*E85))</f>
        <v>#VALUE!</v>
      </c>
      <c r="F82" s="407" t="e">
        <f>(100/B86)</f>
        <v>#DIV/0!</v>
      </c>
      <c r="G82" s="408" t="e">
        <f>(E82*F82)</f>
        <v>#VALUE!</v>
      </c>
      <c r="H82" s="389"/>
      <c r="J82" s="387"/>
    </row>
    <row r="83" spans="1:10" ht="19.5" customHeight="1" x14ac:dyDescent="0.2">
      <c r="A83" s="409" t="s">
        <v>188</v>
      </c>
      <c r="B83" s="410"/>
      <c r="C83" s="411">
        <f>Balanza!E33</f>
        <v>0</v>
      </c>
      <c r="D83" s="412" t="s">
        <v>187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186</v>
      </c>
      <c r="B84" s="410"/>
      <c r="C84" s="416">
        <f>2*(SQRT(Balanza!$B$9+Balanza!$C$9*(POWER(B82,2))))</f>
        <v>0.12899612397277679</v>
      </c>
      <c r="D84" s="412" t="s">
        <v>185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#VALUE!</v>
      </c>
    </row>
    <row r="85" spans="1:10" ht="19.5" customHeight="1" x14ac:dyDescent="0.2">
      <c r="A85" s="409" t="s">
        <v>184</v>
      </c>
      <c r="B85" s="410"/>
      <c r="C85" s="411" t="s">
        <v>179</v>
      </c>
      <c r="D85" s="412" t="s">
        <v>183</v>
      </c>
      <c r="E85" s="413" t="e">
        <f>(C85/SQRT(3)/2)</f>
        <v>#VALUE!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190</v>
      </c>
      <c r="B86" s="417" t="b">
        <f>+Balanza!$C$26</f>
        <v>0</v>
      </c>
      <c r="C86" s="417"/>
      <c r="D86" s="405" t="s">
        <v>189</v>
      </c>
      <c r="E86" s="406" t="e">
        <f>SQRT((E87*E87)+(E88*E88)+(E89*E89))</f>
        <v>#VALUE!</v>
      </c>
      <c r="F86" s="407" t="e">
        <f>(100*B82)/POWER(B86,2)</f>
        <v>#DIV/0!</v>
      </c>
      <c r="G86" s="408" t="e">
        <f>(E86*F86)</f>
        <v>#VALUE!</v>
      </c>
      <c r="H86" s="387"/>
      <c r="I86" s="393" t="str">
        <f>A86</f>
        <v>M total (g)</v>
      </c>
      <c r="J86" s="394" t="e">
        <f>G86</f>
        <v>#VALUE!</v>
      </c>
    </row>
    <row r="87" spans="1:10" ht="19.5" customHeight="1" x14ac:dyDescent="0.2">
      <c r="A87" s="409" t="s">
        <v>188</v>
      </c>
      <c r="B87" s="410"/>
      <c r="C87" s="411">
        <f>+Balanza!$D$26</f>
        <v>0</v>
      </c>
      <c r="D87" s="412" t="s">
        <v>187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186</v>
      </c>
      <c r="B88" s="410"/>
      <c r="C88" s="416">
        <f>2*(SQRT(Balanza!$B$9+Balanza!$C$9*(POWER(B86,2))))</f>
        <v>0.12899612397277679</v>
      </c>
      <c r="D88" s="412" t="s">
        <v>185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184</v>
      </c>
      <c r="B89" s="410"/>
      <c r="C89" s="411" t="s">
        <v>179</v>
      </c>
      <c r="D89" s="412" t="s">
        <v>183</v>
      </c>
      <c r="E89" s="413" t="e">
        <f>(C89/SQRT(3)/2)</f>
        <v>#VALUE!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212</v>
      </c>
      <c r="B90" s="404">
        <v>37.5</v>
      </c>
      <c r="C90" s="404"/>
      <c r="D90" s="405" t="s">
        <v>189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186</v>
      </c>
      <c r="B91" s="410"/>
      <c r="C91" s="419">
        <f>+Balanza!L31</f>
        <v>1.7999999999999999E-2</v>
      </c>
      <c r="D91" s="412" t="s">
        <v>185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211</v>
      </c>
      <c r="B92" s="421">
        <f>+Balanza!B56</f>
        <v>0</v>
      </c>
      <c r="C92" s="421"/>
      <c r="D92" s="422" t="s">
        <v>181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.75" thickBot="1" x14ac:dyDescent="0.25"/>
    <row r="94" spans="1:10" ht="19.5" customHeight="1" thickBot="1" x14ac:dyDescent="0.25">
      <c r="A94" s="426" t="s">
        <v>210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#VALUE!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326</v>
      </c>
      <c r="B96" s="524">
        <f>+Balanza!D34</f>
        <v>0</v>
      </c>
      <c r="C96" s="404"/>
      <c r="D96" s="405" t="s">
        <v>189</v>
      </c>
      <c r="E96" s="406" t="e">
        <f>SQRT((E97*E97)+(E98*E98)+(E99*E99))</f>
        <v>#VALUE!</v>
      </c>
      <c r="F96" s="407" t="e">
        <f>(100/B100)</f>
        <v>#DIV/0!</v>
      </c>
      <c r="G96" s="408" t="e">
        <f>(E96*F96)</f>
        <v>#VALUE!</v>
      </c>
      <c r="H96" s="389"/>
      <c r="J96" s="387"/>
    </row>
    <row r="97" spans="1:10" ht="19.5" customHeight="1" x14ac:dyDescent="0.2">
      <c r="A97" s="409" t="s">
        <v>188</v>
      </c>
      <c r="B97" s="410"/>
      <c r="C97" s="411">
        <f>Balanza!E34</f>
        <v>0</v>
      </c>
      <c r="D97" s="412" t="s">
        <v>187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186</v>
      </c>
      <c r="B98" s="410"/>
      <c r="C98" s="416">
        <f>2*(SQRT(Balanza!$B$9+Balanza!$C$9*(POWER(B96,2))))</f>
        <v>0.12899612397277679</v>
      </c>
      <c r="D98" s="412" t="s">
        <v>185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#VALUE!</v>
      </c>
    </row>
    <row r="99" spans="1:10" ht="19.5" customHeight="1" x14ac:dyDescent="0.2">
      <c r="A99" s="409" t="s">
        <v>184</v>
      </c>
      <c r="B99" s="410"/>
      <c r="C99" s="411" t="s">
        <v>179</v>
      </c>
      <c r="D99" s="412" t="s">
        <v>183</v>
      </c>
      <c r="E99" s="413" t="e">
        <f>(C99/SQRT(3)/2)</f>
        <v>#VALUE!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190</v>
      </c>
      <c r="B100" s="417" t="b">
        <f>+Balanza!$C$26</f>
        <v>0</v>
      </c>
      <c r="C100" s="417"/>
      <c r="D100" s="405" t="s">
        <v>189</v>
      </c>
      <c r="E100" s="406" t="e">
        <f>SQRT((E101*E101)+(E102*E102)+(E103*E103))</f>
        <v>#VALUE!</v>
      </c>
      <c r="F100" s="407" t="e">
        <f>(100*B96)/POWER(B100,2)</f>
        <v>#DIV/0!</v>
      </c>
      <c r="G100" s="408" t="e">
        <f>(E100*F100)</f>
        <v>#VALUE!</v>
      </c>
      <c r="H100" s="387"/>
      <c r="I100" s="393" t="str">
        <f>A100</f>
        <v>M total (g)</v>
      </c>
      <c r="J100" s="394" t="e">
        <f>G100</f>
        <v>#VALUE!</v>
      </c>
    </row>
    <row r="101" spans="1:10" ht="19.5" customHeight="1" x14ac:dyDescent="0.2">
      <c r="A101" s="409" t="s">
        <v>188</v>
      </c>
      <c r="B101" s="410"/>
      <c r="C101" s="411">
        <f>+Balanza!$D$26</f>
        <v>0</v>
      </c>
      <c r="D101" s="412" t="s">
        <v>187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186</v>
      </c>
      <c r="B102" s="410"/>
      <c r="C102" s="416">
        <f>2*(SQRT(Balanza!$B$9+Balanza!$C$9*(POWER(B100,2))))</f>
        <v>0.12899612397277679</v>
      </c>
      <c r="D102" s="412" t="s">
        <v>185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184</v>
      </c>
      <c r="B103" s="410"/>
      <c r="C103" s="411" t="s">
        <v>179</v>
      </c>
      <c r="D103" s="412" t="s">
        <v>183</v>
      </c>
      <c r="E103" s="413" t="e">
        <f>(C103/SQRT(3)/2)</f>
        <v>#VALUE!</v>
      </c>
      <c r="F103" s="410"/>
      <c r="G103" s="418"/>
      <c r="H103" s="387"/>
    </row>
    <row r="104" spans="1:10" ht="19.5" customHeight="1" x14ac:dyDescent="0.2">
      <c r="A104" s="403" t="s">
        <v>209</v>
      </c>
      <c r="B104" s="404">
        <v>25</v>
      </c>
      <c r="C104" s="404"/>
      <c r="D104" s="405" t="s">
        <v>189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186</v>
      </c>
      <c r="B105" s="410"/>
      <c r="C105" s="419">
        <f>+Balanza!L32</f>
        <v>1.7999999999999999E-2</v>
      </c>
      <c r="D105" s="412" t="s">
        <v>185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208</v>
      </c>
      <c r="B106" s="421">
        <f>+Balanza!B57</f>
        <v>0</v>
      </c>
      <c r="C106" s="421"/>
      <c r="D106" s="422" t="s">
        <v>181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207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#VALUE!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327</v>
      </c>
      <c r="B110" s="524">
        <f>+Balanza!D35</f>
        <v>0</v>
      </c>
      <c r="C110" s="404"/>
      <c r="D110" s="405" t="s">
        <v>189</v>
      </c>
      <c r="E110" s="406" t="e">
        <f>SQRT((E111*E111)+(E112*E112)+(E113*E113))</f>
        <v>#VALUE!</v>
      </c>
      <c r="F110" s="407" t="e">
        <f>(100/B114)</f>
        <v>#DIV/0!</v>
      </c>
      <c r="G110" s="408" t="e">
        <f>(E110*F110)</f>
        <v>#VALUE!</v>
      </c>
      <c r="H110" s="389"/>
      <c r="J110" s="387"/>
    </row>
    <row r="111" spans="1:10" ht="19.5" customHeight="1" x14ac:dyDescent="0.2">
      <c r="A111" s="409" t="s">
        <v>188</v>
      </c>
      <c r="B111" s="410"/>
      <c r="C111" s="411">
        <f>Balanza!E35</f>
        <v>0</v>
      </c>
      <c r="D111" s="412" t="s">
        <v>187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186</v>
      </c>
      <c r="B112" s="410"/>
      <c r="C112" s="416">
        <f>2*(SQRT(Balanza!$B$9+Balanza!$C$9*(POWER(B110,2))))</f>
        <v>0.12899612397277679</v>
      </c>
      <c r="D112" s="412" t="s">
        <v>185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#VALUE!</v>
      </c>
    </row>
    <row r="113" spans="1:10" ht="19.5" customHeight="1" x14ac:dyDescent="0.2">
      <c r="A113" s="409" t="s">
        <v>184</v>
      </c>
      <c r="B113" s="410"/>
      <c r="C113" s="411" t="s">
        <v>179</v>
      </c>
      <c r="D113" s="412" t="s">
        <v>183</v>
      </c>
      <c r="E113" s="413" t="e">
        <f>(C113/SQRT(3)/2)</f>
        <v>#VALUE!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190</v>
      </c>
      <c r="B114" s="417" t="b">
        <f>+Balanza!$C$26</f>
        <v>0</v>
      </c>
      <c r="C114" s="417"/>
      <c r="D114" s="405" t="s">
        <v>189</v>
      </c>
      <c r="E114" s="406" t="e">
        <f>SQRT((E115*E115)+(E116*E116)+(E117*E117))</f>
        <v>#VALUE!</v>
      </c>
      <c r="F114" s="407" t="e">
        <f>(100*B110)/POWER(B114,2)</f>
        <v>#DIV/0!</v>
      </c>
      <c r="G114" s="408" t="e">
        <f>(E114*F114)</f>
        <v>#VALUE!</v>
      </c>
      <c r="H114" s="387"/>
      <c r="I114" s="393" t="str">
        <f>A114</f>
        <v>M total (g)</v>
      </c>
      <c r="J114" s="394" t="e">
        <f>G114</f>
        <v>#VALUE!</v>
      </c>
    </row>
    <row r="115" spans="1:10" ht="19.5" customHeight="1" x14ac:dyDescent="0.2">
      <c r="A115" s="409" t="s">
        <v>188</v>
      </c>
      <c r="B115" s="410"/>
      <c r="C115" s="411">
        <f>+Balanza!$D$26</f>
        <v>0</v>
      </c>
      <c r="D115" s="412" t="s">
        <v>187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186</v>
      </c>
      <c r="B116" s="410"/>
      <c r="C116" s="416">
        <f>2*(SQRT(Balanza!$B$9+Balanza!$C$9*(POWER(B114,2))))</f>
        <v>0.12899612397277679</v>
      </c>
      <c r="D116" s="412" t="s">
        <v>185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184</v>
      </c>
      <c r="B117" s="410"/>
      <c r="C117" s="411" t="s">
        <v>179</v>
      </c>
      <c r="D117" s="412" t="s">
        <v>183</v>
      </c>
      <c r="E117" s="413" t="e">
        <f>(C117/SQRT(3)/2)</f>
        <v>#VALUE!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206</v>
      </c>
      <c r="B118" s="404">
        <v>19</v>
      </c>
      <c r="C118" s="404"/>
      <c r="D118" s="405" t="s">
        <v>189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186</v>
      </c>
      <c r="B119" s="410"/>
      <c r="C119" s="419">
        <f>+Balanza!L33</f>
        <v>1.7999999999999999E-2</v>
      </c>
      <c r="D119" s="412" t="s">
        <v>185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205</v>
      </c>
      <c r="B120" s="421">
        <f>+Balanza!B58</f>
        <v>0</v>
      </c>
      <c r="C120" s="421"/>
      <c r="D120" s="422" t="s">
        <v>181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242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#VALUE!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328</v>
      </c>
      <c r="B124" s="525">
        <f>+Balanza!D36</f>
        <v>0</v>
      </c>
      <c r="C124" s="404"/>
      <c r="D124" s="405" t="s">
        <v>189</v>
      </c>
      <c r="E124" s="406" t="e">
        <f>SQRT((E125*E125)+(E126*E126)+(E127*E127))</f>
        <v>#VALUE!</v>
      </c>
      <c r="F124" s="407" t="e">
        <f>(100/B128)</f>
        <v>#DIV/0!</v>
      </c>
      <c r="G124" s="408" t="e">
        <f>(E124*F124)</f>
        <v>#VALUE!</v>
      </c>
      <c r="H124" s="389"/>
      <c r="J124" s="387"/>
    </row>
    <row r="125" spans="1:10" ht="19.5" customHeight="1" x14ac:dyDescent="0.2">
      <c r="A125" s="409" t="s">
        <v>188</v>
      </c>
      <c r="B125" s="410"/>
      <c r="C125" s="411">
        <f>Balanza!E36</f>
        <v>0</v>
      </c>
      <c r="D125" s="412" t="s">
        <v>187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186</v>
      </c>
      <c r="B126" s="410"/>
      <c r="C126" s="416">
        <f>2*(SQRT(Balanza!$B$9+Balanza!$C$9*(POWER(B124,2))))</f>
        <v>0.12899612397277679</v>
      </c>
      <c r="D126" s="412" t="s">
        <v>185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#VALUE!</v>
      </c>
    </row>
    <row r="127" spans="1:10" ht="19.5" customHeight="1" x14ac:dyDescent="0.2">
      <c r="A127" s="409" t="s">
        <v>184</v>
      </c>
      <c r="B127" s="410"/>
      <c r="C127" s="411" t="s">
        <v>179</v>
      </c>
      <c r="D127" s="412" t="s">
        <v>183</v>
      </c>
      <c r="E127" s="413" t="e">
        <f>(C127/SQRT(3)/2)</f>
        <v>#VALUE!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190</v>
      </c>
      <c r="B128" s="417" t="b">
        <f>+Balanza!$C$26</f>
        <v>0</v>
      </c>
      <c r="C128" s="417"/>
      <c r="D128" s="405" t="s">
        <v>189</v>
      </c>
      <c r="E128" s="406" t="e">
        <f>SQRT((E129*E129)+(E130*E130)+(E131*E131))</f>
        <v>#VALUE!</v>
      </c>
      <c r="F128" s="407" t="e">
        <f>(100*B124)/POWER(B128,2)</f>
        <v>#DIV/0!</v>
      </c>
      <c r="G128" s="408" t="e">
        <f>(E128*F128)</f>
        <v>#VALUE!</v>
      </c>
      <c r="H128" s="387"/>
      <c r="I128" s="393" t="str">
        <f>A128</f>
        <v>M total (g)</v>
      </c>
      <c r="J128" s="394" t="e">
        <f>G128</f>
        <v>#VALUE!</v>
      </c>
    </row>
    <row r="129" spans="1:10" ht="19.5" customHeight="1" x14ac:dyDescent="0.2">
      <c r="A129" s="409" t="s">
        <v>188</v>
      </c>
      <c r="B129" s="410"/>
      <c r="C129" s="411">
        <f>+Balanza!$D$26</f>
        <v>0</v>
      </c>
      <c r="D129" s="412" t="s">
        <v>187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186</v>
      </c>
      <c r="B130" s="410"/>
      <c r="C130" s="416">
        <f>2*(SQRT(Balanza!$B$9+Balanza!$C$9*(POWER(B128,2))))</f>
        <v>0.12899612397277679</v>
      </c>
      <c r="D130" s="412" t="s">
        <v>185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184</v>
      </c>
      <c r="B131" s="410"/>
      <c r="C131" s="411" t="s">
        <v>179</v>
      </c>
      <c r="D131" s="412" t="s">
        <v>183</v>
      </c>
      <c r="E131" s="413" t="e">
        <f>(C131/SQRT(3)/2)</f>
        <v>#VALUE!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243</v>
      </c>
      <c r="B132" s="404">
        <v>12.5</v>
      </c>
      <c r="C132" s="404"/>
      <c r="D132" s="405" t="s">
        <v>189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186</v>
      </c>
      <c r="B133" s="410"/>
      <c r="C133" s="419">
        <f>+Balanza!L34</f>
        <v>1.7999999999999999E-2</v>
      </c>
      <c r="D133" s="412" t="s">
        <v>185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244</v>
      </c>
      <c r="B134" s="421">
        <f>+Balanza!B59</f>
        <v>0</v>
      </c>
      <c r="C134" s="421"/>
      <c r="D134" s="422" t="s">
        <v>181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204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#VALUE!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329</v>
      </c>
      <c r="B138" s="525">
        <f>+Balanza!D37</f>
        <v>0</v>
      </c>
      <c r="C138" s="404"/>
      <c r="D138" s="405" t="s">
        <v>189</v>
      </c>
      <c r="E138" s="406" t="e">
        <f>SQRT((E139*E139)+(E140*E140)+(E141*E141))</f>
        <v>#VALUE!</v>
      </c>
      <c r="F138" s="407" t="e">
        <f>(100/B142)</f>
        <v>#DIV/0!</v>
      </c>
      <c r="G138" s="408" t="e">
        <f>(E138*F138)</f>
        <v>#VALUE!</v>
      </c>
      <c r="H138" s="389"/>
      <c r="J138" s="387"/>
    </row>
    <row r="139" spans="1:10" ht="19.5" customHeight="1" x14ac:dyDescent="0.2">
      <c r="A139" s="409" t="s">
        <v>188</v>
      </c>
      <c r="B139" s="410"/>
      <c r="C139" s="411">
        <f>Balanza!E37</f>
        <v>0</v>
      </c>
      <c r="D139" s="412" t="s">
        <v>187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186</v>
      </c>
      <c r="B140" s="410"/>
      <c r="C140" s="416">
        <f>2*(SQRT(Balanza!$B$9+Balanza!$C$9*(POWER(B138,2))))</f>
        <v>0.12899612397277679</v>
      </c>
      <c r="D140" s="412" t="s">
        <v>185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#VALUE!</v>
      </c>
    </row>
    <row r="141" spans="1:10" ht="19.5" customHeight="1" x14ac:dyDescent="0.2">
      <c r="A141" s="409" t="s">
        <v>184</v>
      </c>
      <c r="B141" s="410"/>
      <c r="C141" s="411" t="s">
        <v>179</v>
      </c>
      <c r="D141" s="412" t="s">
        <v>183</v>
      </c>
      <c r="E141" s="413" t="e">
        <f>(C141/SQRT(3)/2)</f>
        <v>#VALUE!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190</v>
      </c>
      <c r="B142" s="417" t="b">
        <f>+Balanza!$C$26</f>
        <v>0</v>
      </c>
      <c r="C142" s="417"/>
      <c r="D142" s="405" t="s">
        <v>189</v>
      </c>
      <c r="E142" s="406" t="e">
        <f>SQRT((E143*E143)+(E144*E144)+(E145*E145))</f>
        <v>#VALUE!</v>
      </c>
      <c r="F142" s="407" t="e">
        <f>(100*B138)/POWER(B142,2)</f>
        <v>#DIV/0!</v>
      </c>
      <c r="G142" s="408" t="e">
        <f>(E142*F142)</f>
        <v>#VALUE!</v>
      </c>
      <c r="H142" s="387"/>
      <c r="I142" s="393" t="str">
        <f>A142</f>
        <v>M total (g)</v>
      </c>
      <c r="J142" s="394" t="e">
        <f>G142</f>
        <v>#VALUE!</v>
      </c>
    </row>
    <row r="143" spans="1:10" ht="19.5" customHeight="1" x14ac:dyDescent="0.2">
      <c r="A143" s="409" t="s">
        <v>188</v>
      </c>
      <c r="B143" s="410"/>
      <c r="C143" s="411">
        <f>+Balanza!$D$26</f>
        <v>0</v>
      </c>
      <c r="D143" s="412" t="s">
        <v>187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186</v>
      </c>
      <c r="B144" s="410"/>
      <c r="C144" s="416">
        <f>2*(SQRT(Balanza!$B$9+Balanza!$C$9*(POWER(B142,2))))</f>
        <v>0.12899612397277679</v>
      </c>
      <c r="D144" s="412" t="s">
        <v>185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184</v>
      </c>
      <c r="B145" s="410"/>
      <c r="C145" s="411" t="s">
        <v>179</v>
      </c>
      <c r="D145" s="412" t="s">
        <v>183</v>
      </c>
      <c r="E145" s="413" t="e">
        <f>(C145/SQRT(3)/2)</f>
        <v>#VALUE!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203</v>
      </c>
      <c r="B146" s="404">
        <v>9.5</v>
      </c>
      <c r="C146" s="404"/>
      <c r="D146" s="405" t="s">
        <v>189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186</v>
      </c>
      <c r="B147" s="410"/>
      <c r="C147" s="419">
        <f>+Balanza!L35</f>
        <v>1.7999999999999999E-2</v>
      </c>
      <c r="D147" s="412" t="s">
        <v>185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202</v>
      </c>
      <c r="B148" s="421">
        <f>+Balanza!B60</f>
        <v>0</v>
      </c>
      <c r="C148" s="421"/>
      <c r="D148" s="422" t="s">
        <v>181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201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#VALUE!</v>
      </c>
      <c r="I150" s="434" t="e">
        <f>IF(B152=0,"---",(H150*2))</f>
        <v>#VALUE!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330</v>
      </c>
      <c r="B152" s="525">
        <f>+Balanza!D38</f>
        <v>11.799961178</v>
      </c>
      <c r="C152" s="404"/>
      <c r="D152" s="405" t="s">
        <v>189</v>
      </c>
      <c r="E152" s="406" t="e">
        <f>SQRT((E153*E153)+(E154*E154)+(E155*E155))</f>
        <v>#VALUE!</v>
      </c>
      <c r="F152" s="407" t="e">
        <f>(100/B156)</f>
        <v>#DIV/0!</v>
      </c>
      <c r="G152" s="408" t="e">
        <f>(E152*F152)</f>
        <v>#VALUE!</v>
      </c>
      <c r="H152" s="389"/>
      <c r="J152" s="387"/>
    </row>
    <row r="153" spans="1:10" ht="19.5" customHeight="1" x14ac:dyDescent="0.2">
      <c r="A153" s="409" t="s">
        <v>188</v>
      </c>
      <c r="B153" s="410"/>
      <c r="C153" s="411">
        <f>Balanza!E38</f>
        <v>0</v>
      </c>
      <c r="D153" s="412" t="s">
        <v>187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186</v>
      </c>
      <c r="B154" s="410"/>
      <c r="C154" s="416">
        <f>2*(SQRT(Balanza!$B$9+Balanza!$C$9*(POWER(B152,2))))</f>
        <v>0.12899664856262527</v>
      </c>
      <c r="D154" s="412" t="s">
        <v>185</v>
      </c>
      <c r="E154" s="413">
        <f>C154/2</f>
        <v>6.4498324281312636E-2</v>
      </c>
      <c r="F154" s="414"/>
      <c r="G154" s="415"/>
      <c r="H154" s="387"/>
      <c r="I154" s="391" t="str">
        <f>A152</f>
        <v>M ret acumulado No. 4 (g)</v>
      </c>
      <c r="J154" s="392" t="e">
        <f>G152</f>
        <v>#VALUE!</v>
      </c>
    </row>
    <row r="155" spans="1:10" ht="19.5" customHeight="1" x14ac:dyDescent="0.2">
      <c r="A155" s="409" t="s">
        <v>184</v>
      </c>
      <c r="B155" s="410"/>
      <c r="C155" s="411" t="s">
        <v>179</v>
      </c>
      <c r="D155" s="412" t="s">
        <v>183</v>
      </c>
      <c r="E155" s="413" t="e">
        <f>(C155/SQRT(3)/2)</f>
        <v>#VALUE!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190</v>
      </c>
      <c r="B156" s="417" t="b">
        <f>+Balanza!$C$26</f>
        <v>0</v>
      </c>
      <c r="C156" s="417"/>
      <c r="D156" s="405" t="s">
        <v>189</v>
      </c>
      <c r="E156" s="406" t="e">
        <f>SQRT((E157*E157)+(E158*E158)+(E159*E159))</f>
        <v>#VALUE!</v>
      </c>
      <c r="F156" s="407" t="e">
        <f>(100*B152)/POWER(B156,2)</f>
        <v>#DIV/0!</v>
      </c>
      <c r="G156" s="408" t="e">
        <f>(E156*F156)</f>
        <v>#VALUE!</v>
      </c>
      <c r="H156" s="387"/>
      <c r="I156" s="393" t="str">
        <f>A156</f>
        <v>M total (g)</v>
      </c>
      <c r="J156" s="394" t="e">
        <f>G156</f>
        <v>#VALUE!</v>
      </c>
    </row>
    <row r="157" spans="1:10" ht="19.5" customHeight="1" x14ac:dyDescent="0.2">
      <c r="A157" s="409" t="s">
        <v>188</v>
      </c>
      <c r="B157" s="410"/>
      <c r="C157" s="411">
        <f>+Balanza!$D$26</f>
        <v>0</v>
      </c>
      <c r="D157" s="412" t="s">
        <v>187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186</v>
      </c>
      <c r="B158" s="410"/>
      <c r="C158" s="416">
        <f>2*(SQRT(Balanza!$B$9+Balanza!$C$9*(POWER(B156,2))))</f>
        <v>0.12899612397277679</v>
      </c>
      <c r="D158" s="412" t="s">
        <v>185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184</v>
      </c>
      <c r="B159" s="410"/>
      <c r="C159" s="411" t="s">
        <v>179</v>
      </c>
      <c r="D159" s="412" t="s">
        <v>183</v>
      </c>
      <c r="E159" s="413" t="e">
        <f>(C159/SQRT(3)/2)</f>
        <v>#VALUE!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200</v>
      </c>
      <c r="B160" s="404">
        <v>4.75</v>
      </c>
      <c r="C160" s="404"/>
      <c r="D160" s="405" t="s">
        <v>189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186</v>
      </c>
      <c r="B161" s="410"/>
      <c r="C161" s="419">
        <f>+Balanza!L36</f>
        <v>1.7999999999999999E-2</v>
      </c>
      <c r="D161" s="412" t="s">
        <v>185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199</v>
      </c>
      <c r="B162" s="421">
        <f>+Balanza!B61</f>
        <v>7.8102205558218438E-2</v>
      </c>
      <c r="C162" s="421"/>
      <c r="D162" s="422" t="s">
        <v>181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25">
      <c r="A163" s="516" t="str">
        <f>+datos!C10</f>
        <v>-</v>
      </c>
      <c r="H163" s="390" t="s">
        <v>319</v>
      </c>
    </row>
    <row r="164" spans="1:10" ht="19.5" customHeight="1" thickBot="1" x14ac:dyDescent="0.25">
      <c r="A164" s="426" t="s">
        <v>245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#VALUE!</v>
      </c>
      <c r="I164" s="434" t="e">
        <f>IF(B166=0,"---",(H164*2))</f>
        <v>#VALUE!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334</v>
      </c>
      <c r="B166" s="525">
        <f>+Balanza!D39</f>
        <v>82.299729233000008</v>
      </c>
      <c r="C166" s="404"/>
      <c r="D166" s="405" t="s">
        <v>189</v>
      </c>
      <c r="E166" s="406" t="e">
        <f>SQRT((E167*E167)+(E168*E168)+(E169*E169))</f>
        <v>#VALUE!</v>
      </c>
      <c r="F166" s="407" t="e">
        <f>IF($A$163="Fraccionada",B165/B170,100/B170)</f>
        <v>#DIV/0!</v>
      </c>
      <c r="G166" s="408" t="e">
        <f>(E166*F166)</f>
        <v>#VALUE!</v>
      </c>
      <c r="H166" s="389"/>
      <c r="J166" s="387"/>
    </row>
    <row r="167" spans="1:10" ht="19.5" customHeight="1" x14ac:dyDescent="0.2">
      <c r="A167" s="409" t="s">
        <v>188</v>
      </c>
      <c r="B167" s="410"/>
      <c r="C167" s="411">
        <f>Balanza!E39</f>
        <v>0</v>
      </c>
      <c r="D167" s="412" t="s">
        <v>187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186</v>
      </c>
      <c r="B168" s="410"/>
      <c r="C168" s="416">
        <f>2*(SQRT(Balanza!$B$9+Balanza!$C$9*(POWER(B166,2))))</f>
        <v>0.12902164002429875</v>
      </c>
      <c r="D168" s="412" t="s">
        <v>185</v>
      </c>
      <c r="E168" s="413">
        <f>C168/2</f>
        <v>6.4510820012149375E-2</v>
      </c>
      <c r="F168" s="414"/>
      <c r="G168" s="415"/>
      <c r="H168" s="387"/>
      <c r="I168" s="391" t="str">
        <f>A166</f>
        <v>M ret acumulado No. 8 (g)</v>
      </c>
      <c r="J168" s="392" t="e">
        <f>G166</f>
        <v>#VALUE!</v>
      </c>
    </row>
    <row r="169" spans="1:10" ht="19.5" customHeight="1" x14ac:dyDescent="0.2">
      <c r="A169" s="409" t="s">
        <v>184</v>
      </c>
      <c r="B169" s="410"/>
      <c r="C169" s="411" t="s">
        <v>179</v>
      </c>
      <c r="D169" s="412" t="s">
        <v>183</v>
      </c>
      <c r="E169" s="413" t="e">
        <f>(C169/SQRT(3)/2)</f>
        <v>#VALUE!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 t="b">
        <f>IF($A$163="Fraccionada",datos!E20,datos!E19)</f>
        <v>0</v>
      </c>
      <c r="C170" s="417"/>
      <c r="D170" s="405" t="s">
        <v>189</v>
      </c>
      <c r="E170" s="406" t="e">
        <f>SQRT((E171*E171)+(E172*E172)+(E173*E173))</f>
        <v>#VALUE!</v>
      </c>
      <c r="F170" s="407" t="e">
        <f>IF($A$163="Fraccionada",B166*B165/POWER(B170,2),(100*B166)/POWER(B170,2))</f>
        <v>#DIV/0!</v>
      </c>
      <c r="G170" s="408" t="e">
        <f>(E170*F170)</f>
        <v>#VALUE!</v>
      </c>
      <c r="H170" s="387"/>
      <c r="I170" s="393" t="str">
        <f>A170</f>
        <v>M total (g)</v>
      </c>
      <c r="J170" s="394" t="e">
        <f>G170</f>
        <v>#VALUE!</v>
      </c>
    </row>
    <row r="171" spans="1:10" ht="19.5" customHeight="1" x14ac:dyDescent="0.2">
      <c r="A171" s="409" t="s">
        <v>188</v>
      </c>
      <c r="B171" s="410"/>
      <c r="C171" s="411">
        <f>+Balanza!$D$26</f>
        <v>0</v>
      </c>
      <c r="D171" s="412" t="s">
        <v>187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186</v>
      </c>
      <c r="B172" s="410"/>
      <c r="C172" s="416">
        <f>2*(SQRT(Balanza!$B$9+Balanza!$C$9*(POWER(B170,2))))</f>
        <v>0.12899612397277679</v>
      </c>
      <c r="D172" s="412" t="s">
        <v>185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184</v>
      </c>
      <c r="B173" s="410"/>
      <c r="C173" s="411" t="s">
        <v>179</v>
      </c>
      <c r="D173" s="412" t="s">
        <v>183</v>
      </c>
      <c r="E173" s="413" t="e">
        <f>(C173/SQRT(3)/2)</f>
        <v>#VALUE!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246</v>
      </c>
      <c r="B174" s="404">
        <v>2.36</v>
      </c>
      <c r="C174" s="404"/>
      <c r="D174" s="405" t="s">
        <v>189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186</v>
      </c>
      <c r="B175" s="410"/>
      <c r="C175" s="419">
        <f>+Balanza!L37</f>
        <v>6.4999999999999997E-3</v>
      </c>
      <c r="D175" s="412" t="s">
        <v>185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247</v>
      </c>
      <c r="B176" s="421">
        <f>+Balanza!B62</f>
        <v>0.24270886010920917</v>
      </c>
      <c r="C176" s="421"/>
      <c r="D176" s="422" t="s">
        <v>181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198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#VALUE!</v>
      </c>
      <c r="I178" s="434" t="e">
        <f>IF(B180=0,"---",(H178*2))</f>
        <v>#VALUE!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335</v>
      </c>
      <c r="B180" s="525">
        <f>Balanza!D40</f>
        <v>101.099667381</v>
      </c>
      <c r="C180" s="404"/>
      <c r="D180" s="405" t="s">
        <v>189</v>
      </c>
      <c r="E180" s="406" t="e">
        <f>SQRT((E181*E181)+(E182*E182)+(E183*E183))</f>
        <v>#VALUE!</v>
      </c>
      <c r="F180" s="407" t="e">
        <f>IF($A$163="Fraccionada",B179/B184,100/B184)</f>
        <v>#DIV/0!</v>
      </c>
      <c r="G180" s="408" t="e">
        <f>(E180*F180)</f>
        <v>#VALUE!</v>
      </c>
      <c r="H180" s="389"/>
      <c r="J180" s="387"/>
    </row>
    <row r="181" spans="1:11" ht="19.5" customHeight="1" x14ac:dyDescent="0.2">
      <c r="A181" s="409" t="s">
        <v>188</v>
      </c>
      <c r="B181" s="410"/>
      <c r="C181" s="411">
        <f>Balanza!E40</f>
        <v>0</v>
      </c>
      <c r="D181" s="412" t="s">
        <v>187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186</v>
      </c>
      <c r="B182" s="410"/>
      <c r="C182" s="416">
        <f>2*(SQRT(Balanza!$B$9+Balanza!$C$9*(POWER(B180,2))))</f>
        <v>0.12903462694466047</v>
      </c>
      <c r="D182" s="412" t="s">
        <v>185</v>
      </c>
      <c r="E182" s="413">
        <f>C182/2</f>
        <v>6.4517313472330237E-2</v>
      </c>
      <c r="F182" s="414"/>
      <c r="G182" s="415"/>
      <c r="H182" s="387"/>
      <c r="I182" s="391" t="str">
        <f>A180</f>
        <v>M ret acumulado No. 10 (g)</v>
      </c>
      <c r="J182" s="392" t="e">
        <f>G180</f>
        <v>#VALUE!</v>
      </c>
      <c r="K182" s="522" t="e">
        <f>+J182/J186</f>
        <v>#VALUE!</v>
      </c>
    </row>
    <row r="183" spans="1:11" ht="19.5" customHeight="1" x14ac:dyDescent="0.2">
      <c r="A183" s="409" t="s">
        <v>184</v>
      </c>
      <c r="B183" s="410"/>
      <c r="C183" s="411" t="s">
        <v>179</v>
      </c>
      <c r="D183" s="412" t="s">
        <v>183</v>
      </c>
      <c r="E183" s="413" t="e">
        <f>(C183/SQRT(3)/2)</f>
        <v>#VALUE!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#VALUE!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 t="b">
        <f>IF($A$163="Fraccionada",datos!E20,datos!E19)</f>
        <v>0</v>
      </c>
      <c r="C184" s="417"/>
      <c r="D184" s="405" t="s">
        <v>189</v>
      </c>
      <c r="E184" s="406" t="e">
        <f>SQRT((E185*E185)+(E186*E186)+(E187*E187))</f>
        <v>#VALUE!</v>
      </c>
      <c r="F184" s="407" t="e">
        <f>IF($A$163="Fraccionada",B180*B179/POWER(B184,2),(100*B180)/POWER(B184,2))</f>
        <v>#DIV/0!</v>
      </c>
      <c r="G184" s="408" t="e">
        <f>(E184*F184)</f>
        <v>#VALUE!</v>
      </c>
      <c r="H184" s="387"/>
      <c r="I184" s="393" t="str">
        <f>A184</f>
        <v>M total (g)</v>
      </c>
      <c r="J184" s="394" t="e">
        <f>G184</f>
        <v>#VALUE!</v>
      </c>
      <c r="K184" s="522" t="e">
        <f>+J184/J186</f>
        <v>#VALUE!</v>
      </c>
    </row>
    <row r="185" spans="1:11" ht="19.5" customHeight="1" x14ac:dyDescent="0.2">
      <c r="A185" s="409" t="s">
        <v>188</v>
      </c>
      <c r="B185" s="410"/>
      <c r="C185" s="411">
        <f>+Balanza!$D$26</f>
        <v>0</v>
      </c>
      <c r="D185" s="412" t="s">
        <v>187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#VALUE!</v>
      </c>
    </row>
    <row r="186" spans="1:11" ht="19.5" customHeight="1" x14ac:dyDescent="0.2">
      <c r="A186" s="409" t="s">
        <v>186</v>
      </c>
      <c r="B186" s="410"/>
      <c r="C186" s="416">
        <f>2*(SQRT(Balanza!$B$9+Balanza!$C$9*(POWER(B184,2))))</f>
        <v>0.12899612397277679</v>
      </c>
      <c r="D186" s="412" t="s">
        <v>185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#VALUE!</v>
      </c>
    </row>
    <row r="187" spans="1:11" ht="19.5" customHeight="1" x14ac:dyDescent="0.2">
      <c r="A187" s="409" t="s">
        <v>184</v>
      </c>
      <c r="B187" s="410"/>
      <c r="C187" s="411" t="s">
        <v>179</v>
      </c>
      <c r="D187" s="412" t="s">
        <v>183</v>
      </c>
      <c r="E187" s="413" t="e">
        <f>(C187/SQRT(3)/2)</f>
        <v>#VALUE!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197</v>
      </c>
      <c r="B188" s="404">
        <v>2</v>
      </c>
      <c r="C188" s="404"/>
      <c r="D188" s="405" t="s">
        <v>189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186</v>
      </c>
      <c r="B189" s="410"/>
      <c r="C189" s="419">
        <f>+Balanza!L38</f>
        <v>1.0999999999999999E-2</v>
      </c>
      <c r="D189" s="412" t="s">
        <v>185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196</v>
      </c>
      <c r="B190" s="421">
        <f>+Balanza!B63</f>
        <v>0.32081881115367472</v>
      </c>
      <c r="C190" s="421"/>
      <c r="D190" s="422" t="s">
        <v>181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248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#VALUE!</v>
      </c>
      <c r="I192" s="434" t="e">
        <f>IF(B194=0,"---",(H192*2))</f>
        <v>#VALUE!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336</v>
      </c>
      <c r="B194" s="525">
        <f>Balanza!D41</f>
        <v>180.899404839</v>
      </c>
      <c r="C194" s="404"/>
      <c r="D194" s="405" t="s">
        <v>189</v>
      </c>
      <c r="E194" s="406" t="e">
        <f>SQRT((E195*E195)+(E196*E196)+(E197*E197))</f>
        <v>#VALUE!</v>
      </c>
      <c r="F194" s="407" t="e">
        <f>IF($A$163="Fraccionada",B193/B198,100/B198)</f>
        <v>#DIV/0!</v>
      </c>
      <c r="G194" s="408" t="e">
        <f>(E194*F194)</f>
        <v>#VALUE!</v>
      </c>
      <c r="H194" s="389"/>
      <c r="J194" s="387"/>
    </row>
    <row r="195" spans="1:11" ht="19.5" customHeight="1" x14ac:dyDescent="0.2">
      <c r="A195" s="409" t="s">
        <v>188</v>
      </c>
      <c r="B195" s="410"/>
      <c r="C195" s="411">
        <f>Balanza!E41</f>
        <v>0</v>
      </c>
      <c r="D195" s="412" t="s">
        <v>187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186</v>
      </c>
      <c r="B196" s="410"/>
      <c r="C196" s="416">
        <f>2*(SQRT(Balanza!$B$9+Balanza!$C$9*(POWER(B194,2))))</f>
        <v>0.12911935682158704</v>
      </c>
      <c r="D196" s="412" t="s">
        <v>185</v>
      </c>
      <c r="E196" s="413">
        <f>C196/2</f>
        <v>6.455967841079352E-2</v>
      </c>
      <c r="F196" s="414"/>
      <c r="G196" s="415"/>
      <c r="H196" s="387"/>
      <c r="I196" s="391" t="str">
        <f>A194</f>
        <v>M ret acumulado No. 16 (g)</v>
      </c>
      <c r="J196" s="392" t="e">
        <f>G194</f>
        <v>#VALUE!</v>
      </c>
      <c r="K196" s="522" t="e">
        <f>+J196/J200</f>
        <v>#VALUE!</v>
      </c>
    </row>
    <row r="197" spans="1:11" ht="19.5" customHeight="1" x14ac:dyDescent="0.2">
      <c r="A197" s="409" t="s">
        <v>184</v>
      </c>
      <c r="B197" s="410"/>
      <c r="C197" s="411" t="s">
        <v>179</v>
      </c>
      <c r="D197" s="412" t="s">
        <v>183</v>
      </c>
      <c r="E197" s="413" t="e">
        <f>(C197/SQRT(3)/2)</f>
        <v>#VALUE!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#VALUE!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 t="b">
        <f>IF($A$163="Fraccionada",datos!$E$20,datos!$E$19)</f>
        <v>0</v>
      </c>
      <c r="C198" s="417"/>
      <c r="D198" s="405" t="s">
        <v>189</v>
      </c>
      <c r="E198" s="406" t="e">
        <f>SQRT((E199*E199)+(E200*E200)+(E201*E201))</f>
        <v>#VALUE!</v>
      </c>
      <c r="F198" s="407" t="e">
        <f>IF($A$163="Fraccionada",B194*B193/POWER(B198,2),(100*B194)/POWER(B198,2))</f>
        <v>#DIV/0!</v>
      </c>
      <c r="G198" s="408" t="e">
        <f>(E198*F198)</f>
        <v>#VALUE!</v>
      </c>
      <c r="H198" s="387"/>
      <c r="I198" s="393" t="str">
        <f>A198</f>
        <v>M total (g)</v>
      </c>
      <c r="J198" s="394" t="e">
        <f>G198</f>
        <v>#VALUE!</v>
      </c>
      <c r="K198" s="522" t="e">
        <f>+J198/J200</f>
        <v>#VALUE!</v>
      </c>
    </row>
    <row r="199" spans="1:11" ht="19.5" customHeight="1" x14ac:dyDescent="0.2">
      <c r="A199" s="409" t="s">
        <v>188</v>
      </c>
      <c r="B199" s="410"/>
      <c r="C199" s="411">
        <f>+Balanza!$D$26</f>
        <v>0</v>
      </c>
      <c r="D199" s="412" t="s">
        <v>187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#VALUE!</v>
      </c>
    </row>
    <row r="200" spans="1:11" ht="19.5" customHeight="1" x14ac:dyDescent="0.2">
      <c r="A200" s="409" t="s">
        <v>186</v>
      </c>
      <c r="B200" s="410"/>
      <c r="C200" s="416">
        <f>2*(SQRT(Balanza!$B$9+Balanza!$C$9*(POWER(B198,2))))</f>
        <v>0.12899612397277679</v>
      </c>
      <c r="D200" s="412" t="s">
        <v>185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#VALUE!</v>
      </c>
    </row>
    <row r="201" spans="1:11" ht="19.5" customHeight="1" x14ac:dyDescent="0.2">
      <c r="A201" s="409" t="s">
        <v>184</v>
      </c>
      <c r="B201" s="410"/>
      <c r="C201" s="411" t="s">
        <v>179</v>
      </c>
      <c r="D201" s="412" t="s">
        <v>183</v>
      </c>
      <c r="E201" s="413" t="e">
        <f>(C201/SQRT(3)/2)</f>
        <v>#VALUE!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249</v>
      </c>
      <c r="B202" s="404">
        <v>1.19</v>
      </c>
      <c r="C202" s="404"/>
      <c r="D202" s="405" t="s">
        <v>189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186</v>
      </c>
      <c r="B203" s="410"/>
      <c r="C203" s="419">
        <f>+Balanza!L39</f>
        <v>5.4000000000000003E-3</v>
      </c>
      <c r="D203" s="412" t="s">
        <v>185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250</v>
      </c>
      <c r="B204" s="421">
        <f>+Balanza!B64</f>
        <v>0.53458571667600707</v>
      </c>
      <c r="C204" s="421"/>
      <c r="D204" s="422" t="s">
        <v>181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251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#VALUE!</v>
      </c>
      <c r="I206" s="434" t="e">
        <f>IF(B208=0,"---",(H206*2))</f>
        <v>#VALUE!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341</v>
      </c>
      <c r="B208" s="525">
        <f>Balanza!D42</f>
        <v>261.69913900699999</v>
      </c>
      <c r="C208" s="404"/>
      <c r="D208" s="405" t="s">
        <v>189</v>
      </c>
      <c r="E208" s="406" t="e">
        <f>SQRT((E209*E209)+(E210*E210)+(E211*E211))</f>
        <v>#VALUE!</v>
      </c>
      <c r="F208" s="407" t="e">
        <f>IF($A$163="Fraccionada",B207/B212,100/B212)</f>
        <v>#DIV/0!</v>
      </c>
      <c r="G208" s="408" t="e">
        <f>(E208*F208)</f>
        <v>#VALUE!</v>
      </c>
      <c r="H208" s="389"/>
      <c r="J208" s="387"/>
    </row>
    <row r="209" spans="1:11" ht="19.5" customHeight="1" x14ac:dyDescent="0.2">
      <c r="A209" s="409" t="s">
        <v>188</v>
      </c>
      <c r="B209" s="410"/>
      <c r="C209" s="411">
        <f>Balanza!E42</f>
        <v>0</v>
      </c>
      <c r="D209" s="412" t="s">
        <v>187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186</v>
      </c>
      <c r="B210" s="410"/>
      <c r="C210" s="416">
        <f>2*(SQRT(Balanza!$B$9+Balanza!$C$9*(POWER(B208,2))))</f>
        <v>0.12925389285841649</v>
      </c>
      <c r="D210" s="412" t="s">
        <v>185</v>
      </c>
      <c r="E210" s="413">
        <f>C210/2</f>
        <v>6.4626946429208243E-2</v>
      </c>
      <c r="F210" s="414"/>
      <c r="G210" s="415"/>
      <c r="H210" s="387"/>
      <c r="I210" s="391" t="str">
        <f>A208</f>
        <v>M ret acumulado No. 30 (g)</v>
      </c>
      <c r="J210" s="392" t="e">
        <f>G208</f>
        <v>#VALUE!</v>
      </c>
      <c r="K210" s="522" t="e">
        <f>+J210/J214</f>
        <v>#VALUE!</v>
      </c>
    </row>
    <row r="211" spans="1:11" ht="19.5" customHeight="1" x14ac:dyDescent="0.2">
      <c r="A211" s="409" t="s">
        <v>184</v>
      </c>
      <c r="B211" s="410"/>
      <c r="C211" s="411" t="s">
        <v>179</v>
      </c>
      <c r="D211" s="412" t="s">
        <v>183</v>
      </c>
      <c r="E211" s="413" t="e">
        <f>(C211/SQRT(3)/2)</f>
        <v>#VALUE!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#VALUE!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 t="b">
        <f>IF($A$163="Fraccionada",datos!$E$20,datos!$E$19)</f>
        <v>0</v>
      </c>
      <c r="C212" s="417"/>
      <c r="D212" s="405" t="s">
        <v>189</v>
      </c>
      <c r="E212" s="406" t="e">
        <f>SQRT((E213*E213)+(E214*E214)+(E215*E215))</f>
        <v>#VALUE!</v>
      </c>
      <c r="F212" s="407" t="e">
        <f>IF($A$163="Fraccionada",B208*B207/POWER(B212,2),(100*B208)/POWER(B212,2))</f>
        <v>#DIV/0!</v>
      </c>
      <c r="G212" s="408" t="e">
        <f>(E212*F212)</f>
        <v>#VALUE!</v>
      </c>
      <c r="H212" s="387"/>
      <c r="I212" s="393" t="str">
        <f>A212</f>
        <v>M total (g)</v>
      </c>
      <c r="J212" s="394" t="e">
        <f>G212</f>
        <v>#VALUE!</v>
      </c>
      <c r="K212" s="522" t="e">
        <f>+J212/J214</f>
        <v>#VALUE!</v>
      </c>
    </row>
    <row r="213" spans="1:11" ht="19.5" customHeight="1" x14ac:dyDescent="0.2">
      <c r="A213" s="409" t="s">
        <v>188</v>
      </c>
      <c r="B213" s="410"/>
      <c r="C213" s="411">
        <f>+Balanza!$D$26</f>
        <v>0</v>
      </c>
      <c r="D213" s="412" t="s">
        <v>187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#VALUE!</v>
      </c>
    </row>
    <row r="214" spans="1:11" ht="19.5" customHeight="1" x14ac:dyDescent="0.2">
      <c r="A214" s="409" t="s">
        <v>186</v>
      </c>
      <c r="B214" s="410"/>
      <c r="C214" s="416">
        <f>2*(SQRT(Balanza!$B$9+Balanza!$C$9*(POWER(B212,2))))</f>
        <v>0.12899612397277679</v>
      </c>
      <c r="D214" s="412" t="s">
        <v>185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#VALUE!</v>
      </c>
    </row>
    <row r="215" spans="1:11" ht="19.5" customHeight="1" x14ac:dyDescent="0.2">
      <c r="A215" s="409" t="s">
        <v>184</v>
      </c>
      <c r="B215" s="410"/>
      <c r="C215" s="411" t="s">
        <v>179</v>
      </c>
      <c r="D215" s="412" t="s">
        <v>183</v>
      </c>
      <c r="E215" s="413" t="e">
        <f>(C215/SQRT(3)/2)</f>
        <v>#VALUE!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252</v>
      </c>
      <c r="B216" s="404">
        <v>0.6</v>
      </c>
      <c r="C216" s="404"/>
      <c r="D216" s="405" t="s">
        <v>189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186</v>
      </c>
      <c r="B217" s="410"/>
      <c r="C217" s="419">
        <f>+Balanza!L40</f>
        <v>3.5000000000000001E-3</v>
      </c>
      <c r="D217" s="412" t="s">
        <v>185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253</v>
      </c>
      <c r="B218" s="421">
        <f>+Balanza!B65</f>
        <v>0.48239791708632423</v>
      </c>
      <c r="C218" s="421"/>
      <c r="D218" s="422" t="s">
        <v>181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195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#VALUE!</v>
      </c>
      <c r="I220" s="434" t="e">
        <f>IF(B222=0,"---",(H220*2))</f>
        <v>#VALUE!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340</v>
      </c>
      <c r="B222" s="525">
        <f>Balanza!D43</f>
        <v>292.69903701699997</v>
      </c>
      <c r="C222" s="404"/>
      <c r="D222" s="405" t="s">
        <v>189</v>
      </c>
      <c r="E222" s="406" t="e">
        <f>SQRT((E223*E223)+(E224*E224)+(E225*E225))</f>
        <v>#VALUE!</v>
      </c>
      <c r="F222" s="407" t="e">
        <f>IF($A$163="Fraccionada",B221/B226,100/B226)</f>
        <v>#DIV/0!</v>
      </c>
      <c r="G222" s="408" t="e">
        <f>(E222*F222)</f>
        <v>#VALUE!</v>
      </c>
      <c r="H222" s="389"/>
      <c r="J222" s="387"/>
    </row>
    <row r="223" spans="1:11" ht="19.5" customHeight="1" x14ac:dyDescent="0.2">
      <c r="A223" s="409" t="s">
        <v>188</v>
      </c>
      <c r="B223" s="410"/>
      <c r="C223" s="411">
        <f>Balanza!E43</f>
        <v>0</v>
      </c>
      <c r="D223" s="412" t="s">
        <v>187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186</v>
      </c>
      <c r="B224" s="410"/>
      <c r="C224" s="416">
        <f>2*(SQRT(Balanza!$B$9+Balanza!$C$9*(POWER(B222,2))))</f>
        <v>0.12931849786451705</v>
      </c>
      <c r="D224" s="412" t="s">
        <v>185</v>
      </c>
      <c r="E224" s="413">
        <f>C224/2</f>
        <v>6.4659248932258523E-2</v>
      </c>
      <c r="F224" s="414"/>
      <c r="G224" s="415"/>
      <c r="H224" s="387"/>
      <c r="I224" s="391" t="str">
        <f>A222</f>
        <v>M ret acumulado No. 40 (g)</v>
      </c>
      <c r="J224" s="392" t="e">
        <f>G222</f>
        <v>#VALUE!</v>
      </c>
      <c r="K224" s="522" t="e">
        <f>+J224/J228</f>
        <v>#VALUE!</v>
      </c>
    </row>
    <row r="225" spans="1:11" ht="19.5" customHeight="1" x14ac:dyDescent="0.2">
      <c r="A225" s="409" t="s">
        <v>184</v>
      </c>
      <c r="B225" s="410"/>
      <c r="C225" s="411" t="s">
        <v>179</v>
      </c>
      <c r="D225" s="412" t="s">
        <v>183</v>
      </c>
      <c r="E225" s="413" t="e">
        <f>(C225/SQRT(3)/2)</f>
        <v>#VALUE!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#VALUE!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 t="b">
        <f>IF($A$163="Fraccionada",datos!$E$20,datos!$E$19)</f>
        <v>0</v>
      </c>
      <c r="C226" s="417"/>
      <c r="D226" s="405" t="s">
        <v>189</v>
      </c>
      <c r="E226" s="406" t="e">
        <f>SQRT((E227*E227)+(E228*E228)+(E229*E229))</f>
        <v>#VALUE!</v>
      </c>
      <c r="F226" s="407" t="e">
        <f>IF($A$163="Fraccionada",B222*B221/POWER(B226,2),(100*B222)/POWER(B226,2))</f>
        <v>#DIV/0!</v>
      </c>
      <c r="G226" s="408" t="e">
        <f>(E226*F226)</f>
        <v>#VALUE!</v>
      </c>
      <c r="H226" s="387"/>
      <c r="I226" s="393" t="str">
        <f>A226</f>
        <v>M total (g)</v>
      </c>
      <c r="J226" s="394" t="e">
        <f>G226</f>
        <v>#VALUE!</v>
      </c>
      <c r="K226" s="522" t="e">
        <f>+J226/J228</f>
        <v>#VALUE!</v>
      </c>
    </row>
    <row r="227" spans="1:11" ht="19.5" customHeight="1" x14ac:dyDescent="0.2">
      <c r="A227" s="409" t="s">
        <v>188</v>
      </c>
      <c r="B227" s="410"/>
      <c r="C227" s="411">
        <f>+Balanza!$D$26</f>
        <v>0</v>
      </c>
      <c r="D227" s="412" t="s">
        <v>187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#VALUE!</v>
      </c>
    </row>
    <row r="228" spans="1:11" ht="19.5" customHeight="1" x14ac:dyDescent="0.2">
      <c r="A228" s="409" t="s">
        <v>186</v>
      </c>
      <c r="B228" s="410"/>
      <c r="C228" s="416">
        <f>2*(SQRT(Balanza!$B$9+Balanza!$C$9*(POWER(B226,2))))</f>
        <v>0.12899612397277679</v>
      </c>
      <c r="D228" s="412" t="s">
        <v>185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#VALUE!</v>
      </c>
    </row>
    <row r="229" spans="1:11" ht="19.5" customHeight="1" x14ac:dyDescent="0.2">
      <c r="A229" s="409" t="s">
        <v>184</v>
      </c>
      <c r="B229" s="410"/>
      <c r="C229" s="411" t="s">
        <v>179</v>
      </c>
      <c r="D229" s="412" t="s">
        <v>183</v>
      </c>
      <c r="E229" s="413" t="e">
        <f>(C229/SQRT(3)/2)</f>
        <v>#VALUE!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194</v>
      </c>
      <c r="B230" s="404">
        <v>0.42</v>
      </c>
      <c r="C230" s="404"/>
      <c r="D230" s="405" t="s">
        <v>189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186</v>
      </c>
      <c r="B231" s="410"/>
      <c r="C231" s="419">
        <f>+Balanza!L41</f>
        <v>2.7000000000000001E-3</v>
      </c>
      <c r="D231" s="412" t="s">
        <v>185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193</v>
      </c>
      <c r="B232" s="421">
        <f>+Balanza!B66</f>
        <v>0.34208544824232401</v>
      </c>
      <c r="C232" s="421"/>
      <c r="D232" s="422" t="s">
        <v>181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254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#VALUE!</v>
      </c>
      <c r="I234" s="434" t="e">
        <f>IF(B236=0,"---",(H234*2))</f>
        <v>#VALUE!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339</v>
      </c>
      <c r="B236" s="525">
        <f>Balanza!D44</f>
        <v>314.19896628199996</v>
      </c>
      <c r="C236" s="404"/>
      <c r="D236" s="405" t="s">
        <v>189</v>
      </c>
      <c r="E236" s="406" t="e">
        <f>SQRT((E237*E237)+(E238*E238)+(E239*E239))</f>
        <v>#VALUE!</v>
      </c>
      <c r="F236" s="407" t="e">
        <f>IF($A$163="Fraccionada",B235/B240,100/B240)</f>
        <v>#DIV/0!</v>
      </c>
      <c r="G236" s="408" t="e">
        <f>(E236*F236)</f>
        <v>#VALUE!</v>
      </c>
      <c r="H236" s="389"/>
      <c r="J236" s="387"/>
    </row>
    <row r="237" spans="1:11" ht="19.5" customHeight="1" x14ac:dyDescent="0.2">
      <c r="A237" s="409" t="s">
        <v>188</v>
      </c>
      <c r="B237" s="410"/>
      <c r="C237" s="411">
        <f>Balanza!E44</f>
        <v>0</v>
      </c>
      <c r="D237" s="412" t="s">
        <v>187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186</v>
      </c>
      <c r="B238" s="410"/>
      <c r="C238" s="416">
        <f>2*(SQRT(Balanza!$B$9+Balanza!$C$9*(POWER(B236,2))))</f>
        <v>0.1293675260746727</v>
      </c>
      <c r="D238" s="412" t="s">
        <v>185</v>
      </c>
      <c r="E238" s="413">
        <f>C238/2</f>
        <v>6.4683763037336348E-2</v>
      </c>
      <c r="F238" s="414"/>
      <c r="G238" s="415"/>
      <c r="H238" s="387"/>
      <c r="I238" s="391" t="str">
        <f>A236</f>
        <v>M ret acumulado No. 50 (g)</v>
      </c>
      <c r="J238" s="392" t="e">
        <f>G236</f>
        <v>#VALUE!</v>
      </c>
      <c r="K238" s="522" t="e">
        <f>+J238/J242</f>
        <v>#VALUE!</v>
      </c>
    </row>
    <row r="239" spans="1:11" ht="19.5" customHeight="1" x14ac:dyDescent="0.2">
      <c r="A239" s="409" t="s">
        <v>184</v>
      </c>
      <c r="B239" s="410"/>
      <c r="C239" s="411" t="s">
        <v>179</v>
      </c>
      <c r="D239" s="412" t="s">
        <v>183</v>
      </c>
      <c r="E239" s="413" t="e">
        <f>(C239/SQRT(3)/2)</f>
        <v>#VALUE!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#VALUE!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 t="b">
        <f>IF($A$163="Fraccionada",datos!$E$20,datos!$E$19)</f>
        <v>0</v>
      </c>
      <c r="C240" s="417"/>
      <c r="D240" s="405" t="s">
        <v>189</v>
      </c>
      <c r="E240" s="406" t="e">
        <f>SQRT((E241*E241)+(E242*E242)+(E243*E243))</f>
        <v>#VALUE!</v>
      </c>
      <c r="F240" s="407" t="e">
        <f>IF($A$163="Fraccionada",B236*B235/POWER(B240,2),(100*B236)/POWER(B240,2))</f>
        <v>#DIV/0!</v>
      </c>
      <c r="G240" s="408" t="e">
        <f>(E240*F240)</f>
        <v>#VALUE!</v>
      </c>
      <c r="H240" s="387"/>
      <c r="I240" s="393" t="str">
        <f>A240</f>
        <v>M total (g)</v>
      </c>
      <c r="J240" s="394" t="e">
        <f>G240</f>
        <v>#VALUE!</v>
      </c>
      <c r="K240" s="522" t="e">
        <f>+J240/J242</f>
        <v>#VALUE!</v>
      </c>
    </row>
    <row r="241" spans="1:11" ht="19.5" customHeight="1" x14ac:dyDescent="0.2">
      <c r="A241" s="409" t="s">
        <v>188</v>
      </c>
      <c r="B241" s="410"/>
      <c r="C241" s="411">
        <f>+Balanza!$D$26</f>
        <v>0</v>
      </c>
      <c r="D241" s="412" t="s">
        <v>187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#VALUE!</v>
      </c>
    </row>
    <row r="242" spans="1:11" ht="19.5" customHeight="1" x14ac:dyDescent="0.2">
      <c r="A242" s="409" t="s">
        <v>186</v>
      </c>
      <c r="B242" s="410"/>
      <c r="C242" s="416">
        <f>2*(SQRT(Balanza!$B$9+Balanza!$C$9*(POWER(B240,2))))</f>
        <v>0.12899612397277679</v>
      </c>
      <c r="D242" s="412" t="s">
        <v>185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#VALUE!</v>
      </c>
    </row>
    <row r="243" spans="1:11" ht="19.5" customHeight="1" x14ac:dyDescent="0.2">
      <c r="A243" s="409" t="s">
        <v>184</v>
      </c>
      <c r="B243" s="410"/>
      <c r="C243" s="411" t="s">
        <v>179</v>
      </c>
      <c r="D243" s="412" t="s">
        <v>183</v>
      </c>
      <c r="E243" s="413" t="e">
        <f>(C243/SQRT(3)/2)</f>
        <v>#VALUE!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255</v>
      </c>
      <c r="B244" s="404">
        <v>0.3</v>
      </c>
      <c r="C244" s="404"/>
      <c r="D244" s="405" t="s">
        <v>189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186</v>
      </c>
      <c r="B245" s="410"/>
      <c r="C245" s="419">
        <f>+Balanza!L42</f>
        <v>2.5000000000000001E-3</v>
      </c>
      <c r="D245" s="412" t="s">
        <v>185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256</v>
      </c>
      <c r="B246" s="421">
        <f>+Balanza!B67</f>
        <v>0.45392671715941679</v>
      </c>
      <c r="C246" s="421"/>
      <c r="D246" s="422" t="s">
        <v>181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257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#VALUE!</v>
      </c>
      <c r="I248" s="434" t="e">
        <f>IF(B250=0,"---",(H248*2))</f>
        <v>#VALUE!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338</v>
      </c>
      <c r="B250" s="525">
        <f>Balanza!D45</f>
        <v>344.99886494999998</v>
      </c>
      <c r="C250" s="404"/>
      <c r="D250" s="405" t="s">
        <v>189</v>
      </c>
      <c r="E250" s="406" t="e">
        <f>SQRT((E251*E251)+(E252*E252)+(E253*E253))</f>
        <v>#VALUE!</v>
      </c>
      <c r="F250" s="407" t="e">
        <f>IF($A$163="Fraccionada",B249/B254,100/B254)</f>
        <v>#DIV/0!</v>
      </c>
      <c r="G250" s="408" t="e">
        <f>(E250*F250)</f>
        <v>#VALUE!</v>
      </c>
      <c r="H250" s="389"/>
      <c r="J250" s="387"/>
    </row>
    <row r="251" spans="1:11" ht="19.5" customHeight="1" x14ac:dyDescent="0.2">
      <c r="A251" s="409" t="s">
        <v>188</v>
      </c>
      <c r="B251" s="410"/>
      <c r="C251" s="411">
        <f>Balanza!E45</f>
        <v>0</v>
      </c>
      <c r="D251" s="412" t="s">
        <v>187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186</v>
      </c>
      <c r="B252" s="410"/>
      <c r="C252" s="416">
        <f>2*(SQRT(Balanza!$B$9+Balanza!$C$9*(POWER(B250,2))))</f>
        <v>0.12944377752038108</v>
      </c>
      <c r="D252" s="412" t="s">
        <v>185</v>
      </c>
      <c r="E252" s="413">
        <f>C252/2</f>
        <v>6.4721888760190541E-2</v>
      </c>
      <c r="F252" s="414"/>
      <c r="G252" s="415"/>
      <c r="H252" s="387"/>
      <c r="I252" s="391" t="str">
        <f>A250</f>
        <v>M ret acumulado No. 100 (g)</v>
      </c>
      <c r="J252" s="392" t="e">
        <f>G250</f>
        <v>#VALUE!</v>
      </c>
      <c r="K252" s="522" t="e">
        <f>+J252/J256</f>
        <v>#VALUE!</v>
      </c>
    </row>
    <row r="253" spans="1:11" ht="19.5" customHeight="1" x14ac:dyDescent="0.2">
      <c r="A253" s="409" t="s">
        <v>184</v>
      </c>
      <c r="B253" s="410"/>
      <c r="C253" s="411" t="s">
        <v>179</v>
      </c>
      <c r="D253" s="412" t="s">
        <v>183</v>
      </c>
      <c r="E253" s="413" t="e">
        <f>(C253/SQRT(3)/2)</f>
        <v>#VALUE!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#VALUE!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 t="b">
        <f>IF($A$163="Fraccionada",datos!$E$20,datos!$E$19)</f>
        <v>0</v>
      </c>
      <c r="C254" s="417"/>
      <c r="D254" s="405" t="s">
        <v>189</v>
      </c>
      <c r="E254" s="406" t="e">
        <f>SQRT((E255*E255)+(E256*E256)+(E257*E257))</f>
        <v>#VALUE!</v>
      </c>
      <c r="F254" s="407" t="e">
        <f>IF($A$163="Fraccionada",B250*B249/POWER(B254,2),(100*B250)/POWER(B254,2))</f>
        <v>#DIV/0!</v>
      </c>
      <c r="G254" s="408" t="e">
        <f>(E254*F254)</f>
        <v>#VALUE!</v>
      </c>
      <c r="H254" s="387"/>
      <c r="I254" s="393" t="str">
        <f>A254</f>
        <v>M total (g)</v>
      </c>
      <c r="J254" s="394" t="e">
        <f>G254</f>
        <v>#VALUE!</v>
      </c>
      <c r="K254" s="522" t="e">
        <f>+J254/J256</f>
        <v>#VALUE!</v>
      </c>
    </row>
    <row r="255" spans="1:11" ht="19.5" customHeight="1" x14ac:dyDescent="0.2">
      <c r="A255" s="409" t="s">
        <v>188</v>
      </c>
      <c r="B255" s="410"/>
      <c r="C255" s="411">
        <f>+Balanza!$D$26</f>
        <v>0</v>
      </c>
      <c r="D255" s="412" t="s">
        <v>187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#VALUE!</v>
      </c>
    </row>
    <row r="256" spans="1:11" ht="19.5" customHeight="1" x14ac:dyDescent="0.2">
      <c r="A256" s="409" t="s">
        <v>186</v>
      </c>
      <c r="B256" s="410"/>
      <c r="C256" s="416">
        <f>2*(SQRT(Balanza!$B$9+Balanza!$C$9*(POWER(B254,2))))</f>
        <v>0.12899612397277679</v>
      </c>
      <c r="D256" s="412" t="s">
        <v>185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#VALUE!</v>
      </c>
    </row>
    <row r="257" spans="1:11" ht="19.5" customHeight="1" x14ac:dyDescent="0.2">
      <c r="A257" s="409" t="s">
        <v>184</v>
      </c>
      <c r="B257" s="410"/>
      <c r="C257" s="411" t="s">
        <v>179</v>
      </c>
      <c r="D257" s="412" t="s">
        <v>183</v>
      </c>
      <c r="E257" s="413" t="e">
        <f>(C257/SQRT(3)/2)</f>
        <v>#VALUE!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331</v>
      </c>
      <c r="B258" s="404">
        <v>0.15</v>
      </c>
      <c r="C258" s="404"/>
      <c r="D258" s="405" t="s">
        <v>189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186</v>
      </c>
      <c r="B259" s="410"/>
      <c r="C259" s="419">
        <f>+Balanza!L43</f>
        <v>1.2999999999999999E-3</v>
      </c>
      <c r="D259" s="412" t="s">
        <v>185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332</v>
      </c>
      <c r="B260" s="421">
        <f>+Balanza!B68</f>
        <v>0.24282402392218505</v>
      </c>
      <c r="C260" s="421"/>
      <c r="D260" s="422" t="s">
        <v>181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192</v>
      </c>
      <c r="B262" s="570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#VALUE!</v>
      </c>
      <c r="I262" s="571" t="e">
        <f>IF(B264=0,"---",(H262*2))</f>
        <v>#VALUE!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337</v>
      </c>
      <c r="B264" s="525">
        <f>Balanza!D46</f>
        <v>359.89881592899997</v>
      </c>
      <c r="C264" s="404"/>
      <c r="D264" s="405" t="s">
        <v>189</v>
      </c>
      <c r="E264" s="406" t="e">
        <f>SQRT((E265*E265)+(E266*E266)+(E267*E267))</f>
        <v>#VALUE!</v>
      </c>
      <c r="F264" s="407" t="e">
        <f>IF($A$163="Fraccionada",B263/B268,100/B268)</f>
        <v>#DIV/0!</v>
      </c>
      <c r="G264" s="408" t="e">
        <f>(E264*F264)</f>
        <v>#VALUE!</v>
      </c>
      <c r="H264" s="389"/>
      <c r="J264" s="387"/>
    </row>
    <row r="265" spans="1:11" ht="19.5" customHeight="1" x14ac:dyDescent="0.2">
      <c r="A265" s="409" t="s">
        <v>188</v>
      </c>
      <c r="B265" s="410"/>
      <c r="C265" s="411">
        <f>Balanza!E46</f>
        <v>0</v>
      </c>
      <c r="D265" s="412" t="s">
        <v>187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186</v>
      </c>
      <c r="B266" s="410"/>
      <c r="C266" s="416">
        <f>2*(SQRT(Balanza!$B$9+Balanza!$C$9*(POWER(B264,2))))</f>
        <v>0.12948320507807681</v>
      </c>
      <c r="D266" s="412" t="s">
        <v>185</v>
      </c>
      <c r="E266" s="413">
        <f>C266/2</f>
        <v>6.4741602539038406E-2</v>
      </c>
      <c r="F266" s="414"/>
      <c r="G266" s="415"/>
      <c r="H266" s="387"/>
      <c r="I266" s="391" t="str">
        <f>A264</f>
        <v>M ret acumulado No. 200 (g)</v>
      </c>
      <c r="J266" s="392" t="e">
        <f>G264</f>
        <v>#VALUE!</v>
      </c>
      <c r="K266" s="522" t="e">
        <f>+J266/J270</f>
        <v>#VALUE!</v>
      </c>
    </row>
    <row r="267" spans="1:11" ht="19.5" customHeight="1" x14ac:dyDescent="0.2">
      <c r="A267" s="409" t="s">
        <v>184</v>
      </c>
      <c r="B267" s="410"/>
      <c r="C267" s="411" t="s">
        <v>179</v>
      </c>
      <c r="D267" s="412" t="s">
        <v>183</v>
      </c>
      <c r="E267" s="413" t="e">
        <f>(C267/SQRT(3)/2)</f>
        <v>#VALUE!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#VALUE!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 t="b">
        <f>IF($A$163="Fraccionada",datos!$E$20,datos!$E$19)</f>
        <v>0</v>
      </c>
      <c r="C268" s="417"/>
      <c r="D268" s="405" t="s">
        <v>189</v>
      </c>
      <c r="E268" s="406" t="e">
        <f>SQRT((E269*E269)+(E270*E270)+(E271*E271))</f>
        <v>#VALUE!</v>
      </c>
      <c r="F268" s="407" t="e">
        <f>IF($A$163="Fraccionada",B264*B263/POWER(B268,2),(100*B264)/POWER(B268,2))</f>
        <v>#DIV/0!</v>
      </c>
      <c r="G268" s="408" t="e">
        <f>(E268*F268)</f>
        <v>#VALUE!</v>
      </c>
      <c r="H268" s="387"/>
      <c r="I268" s="393" t="str">
        <f>A268</f>
        <v>M total (g)</v>
      </c>
      <c r="J268" s="394" t="e">
        <f>G268</f>
        <v>#VALUE!</v>
      </c>
      <c r="K268" s="522" t="e">
        <f>+J268/J270</f>
        <v>#VALUE!</v>
      </c>
    </row>
    <row r="269" spans="1:11" ht="19.5" customHeight="1" x14ac:dyDescent="0.2">
      <c r="A269" s="409" t="s">
        <v>188</v>
      </c>
      <c r="B269" s="410"/>
      <c r="C269" s="411">
        <f>+Balanza!$D$26</f>
        <v>0</v>
      </c>
      <c r="D269" s="412" t="s">
        <v>187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#VALUE!</v>
      </c>
    </row>
    <row r="270" spans="1:11" ht="19.5" customHeight="1" x14ac:dyDescent="0.2">
      <c r="A270" s="409" t="s">
        <v>186</v>
      </c>
      <c r="B270" s="410"/>
      <c r="C270" s="416">
        <f>2*(SQRT(Balanza!$B$9+Balanza!$C$9*(POWER(B268,2))))</f>
        <v>0.12899612397277679</v>
      </c>
      <c r="D270" s="412" t="s">
        <v>185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#VALUE!</v>
      </c>
    </row>
    <row r="271" spans="1:11" ht="19.5" customHeight="1" x14ac:dyDescent="0.2">
      <c r="A271" s="409" t="s">
        <v>184</v>
      </c>
      <c r="B271" s="410"/>
      <c r="C271" s="411" t="s">
        <v>179</v>
      </c>
      <c r="D271" s="412" t="s">
        <v>183</v>
      </c>
      <c r="E271" s="413" t="e">
        <f>(C271/SQRT(3)/2)</f>
        <v>#VALUE!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191</v>
      </c>
      <c r="B272" s="436">
        <v>7.4999999999999997E-2</v>
      </c>
      <c r="C272" s="436"/>
      <c r="D272" s="405" t="s">
        <v>189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186</v>
      </c>
      <c r="B273" s="410"/>
      <c r="C273" s="437">
        <f>+Balanza!L44</f>
        <v>1.2999999999999999E-3</v>
      </c>
      <c r="D273" s="412" t="s">
        <v>185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182</v>
      </c>
      <c r="B274" s="421">
        <f>+Balanza!B69</f>
        <v>0.31355805092132405</v>
      </c>
      <c r="C274" s="421"/>
      <c r="D274" s="422" t="s">
        <v>181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2.75" x14ac:dyDescent="0.2">
      <c r="A278" s="786" t="s">
        <v>458</v>
      </c>
      <c r="B278" s="903" t="s">
        <v>459</v>
      </c>
      <c r="C278" s="904"/>
      <c r="D278" s="787"/>
      <c r="E278" s="905" t="s">
        <v>460</v>
      </c>
      <c r="F278" s="905"/>
      <c r="G278" s="906" t="s">
        <v>461</v>
      </c>
      <c r="H278" s="907"/>
      <c r="I278" s="547"/>
    </row>
    <row r="279" spans="1:10" ht="12.75" x14ac:dyDescent="0.2">
      <c r="A279" s="547"/>
      <c r="B279" s="547"/>
      <c r="C279" s="547"/>
      <c r="D279" s="547"/>
      <c r="E279" s="547"/>
      <c r="F279" s="547"/>
      <c r="G279" s="547"/>
      <c r="H279" s="547"/>
      <c r="I279" s="547"/>
    </row>
    <row r="280" spans="1:10" ht="12.75" x14ac:dyDescent="0.2">
      <c r="A280" s="788" t="s">
        <v>462</v>
      </c>
      <c r="B280" s="887">
        <v>44944</v>
      </c>
      <c r="C280" s="888"/>
      <c r="D280" s="547"/>
      <c r="E280" s="889" t="s">
        <v>463</v>
      </c>
      <c r="F280" s="889"/>
      <c r="G280" s="887">
        <v>44944</v>
      </c>
      <c r="H280" s="888"/>
      <c r="I280" s="547"/>
    </row>
    <row r="281" spans="1:10" ht="12.75" x14ac:dyDescent="0.2">
      <c r="A281" s="547"/>
      <c r="B281" s="547"/>
      <c r="C281" s="547"/>
      <c r="D281" s="547"/>
      <c r="E281" s="547"/>
      <c r="F281" s="547"/>
      <c r="G281" s="547"/>
      <c r="H281" s="547"/>
      <c r="I281" s="547"/>
    </row>
  </sheetData>
  <sheetProtection algorithmName="SHA-512" hashValue="vRQYYO4Ej2wcanaJ25Yllxu5ZfTuDKu0LhWxt7/69ahWpdyFMByvCsVQzE7/2xwGDbanzCYKsbVfThY3YeU3ig==" saltValue="PhxCj+pce3FM0EJg5j2v3Q==" spinCount="100000"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Normal="100" workbookViewId="0">
      <selection activeCell="H66" sqref="H66"/>
    </sheetView>
  </sheetViews>
  <sheetFormatPr baseColWidth="10" defaultColWidth="11.5703125" defaultRowHeight="12.75" x14ac:dyDescent="0.2"/>
  <cols>
    <col min="1" max="1" width="11.5703125" style="660"/>
    <col min="2" max="3" width="12.5703125" style="660" customWidth="1"/>
    <col min="4" max="4" width="11.5703125" style="660"/>
    <col min="5" max="6" width="13.7109375" style="660" customWidth="1"/>
    <col min="7" max="7" width="12.85546875" style="660" customWidth="1"/>
    <col min="8" max="8" width="11.5703125" style="660"/>
    <col min="9" max="9" width="11.85546875" style="660" customWidth="1"/>
    <col min="10" max="16384" width="11.5703125" style="660"/>
  </cols>
  <sheetData>
    <row r="7" spans="1:20" x14ac:dyDescent="0.2">
      <c r="A7" s="658" t="s">
        <v>177</v>
      </c>
      <c r="B7" s="659"/>
      <c r="C7" s="659"/>
      <c r="D7" s="547"/>
      <c r="E7" s="547"/>
      <c r="F7" s="547"/>
      <c r="G7" s="547"/>
    </row>
    <row r="8" spans="1:20" x14ac:dyDescent="0.2">
      <c r="A8" s="783" t="s">
        <v>307</v>
      </c>
      <c r="B8" s="706">
        <v>-3.2899999999999998E-6</v>
      </c>
      <c r="C8" s="491"/>
      <c r="D8" s="491"/>
      <c r="E8" s="270"/>
      <c r="F8" s="547"/>
      <c r="G8" s="547"/>
      <c r="M8" s="662"/>
      <c r="N8" s="662"/>
      <c r="O8" s="662"/>
      <c r="P8" s="662"/>
      <c r="Q8" s="662"/>
      <c r="R8" s="662"/>
      <c r="S8" s="662"/>
      <c r="T8" s="662"/>
    </row>
    <row r="9" spans="1:20" x14ac:dyDescent="0.2">
      <c r="A9" s="492" t="s">
        <v>178</v>
      </c>
      <c r="B9" s="705">
        <v>4.1599999999999996E-3</v>
      </c>
      <c r="C9" s="706">
        <v>2.4299999999999999E-10</v>
      </c>
      <c r="D9" s="491"/>
      <c r="E9" s="270"/>
      <c r="F9" s="547"/>
      <c r="G9" s="547"/>
    </row>
    <row r="10" spans="1:20" x14ac:dyDescent="0.2">
      <c r="A10" s="492" t="s">
        <v>454</v>
      </c>
      <c r="B10" s="707" t="s">
        <v>455</v>
      </c>
      <c r="C10" s="705"/>
      <c r="D10" s="491"/>
      <c r="E10" s="270"/>
      <c r="F10" s="547"/>
      <c r="G10" s="547"/>
    </row>
    <row r="11" spans="1:20" x14ac:dyDescent="0.2">
      <c r="A11" s="492" t="s">
        <v>184</v>
      </c>
      <c r="B11" s="707">
        <v>0.1</v>
      </c>
      <c r="C11" s="705" t="s">
        <v>403</v>
      </c>
      <c r="D11" s="270"/>
      <c r="E11" s="270"/>
      <c r="F11" s="547"/>
      <c r="G11" s="547"/>
    </row>
    <row r="12" spans="1:20" x14ac:dyDescent="0.2">
      <c r="A12" s="492" t="s">
        <v>456</v>
      </c>
      <c r="B12" s="705" t="s">
        <v>154</v>
      </c>
      <c r="C12" s="491"/>
      <c r="D12" s="270"/>
      <c r="E12" s="270"/>
      <c r="F12" s="547"/>
      <c r="G12" s="547"/>
    </row>
    <row r="13" spans="1:20" x14ac:dyDescent="0.2">
      <c r="A13" s="492" t="s">
        <v>457</v>
      </c>
      <c r="B13" s="270"/>
      <c r="C13" s="784">
        <v>46132</v>
      </c>
      <c r="D13" s="270"/>
      <c r="E13" s="270"/>
      <c r="F13" s="547"/>
      <c r="G13" s="547"/>
    </row>
    <row r="14" spans="1:20" x14ac:dyDescent="0.2">
      <c r="A14" s="495"/>
      <c r="B14" s="661"/>
      <c r="C14" s="547"/>
      <c r="D14" s="547"/>
      <c r="E14" s="547"/>
      <c r="F14" s="547"/>
      <c r="G14" s="547"/>
    </row>
    <row r="15" spans="1:20" ht="18.600000000000001" customHeight="1" x14ac:dyDescent="0.2">
      <c r="A15" s="665" t="s">
        <v>271</v>
      </c>
      <c r="B15" s="664" t="s">
        <v>344</v>
      </c>
      <c r="C15" s="665">
        <v>20</v>
      </c>
      <c r="D15" s="665">
        <v>200</v>
      </c>
      <c r="E15" s="665">
        <v>500</v>
      </c>
      <c r="F15" s="665">
        <v>1000</v>
      </c>
      <c r="G15" s="665">
        <v>5000</v>
      </c>
      <c r="H15" s="665">
        <v>10000</v>
      </c>
    </row>
    <row r="16" spans="1:20" x14ac:dyDescent="0.2">
      <c r="A16" s="666"/>
      <c r="B16" s="667"/>
      <c r="C16" s="668"/>
      <c r="D16" s="703"/>
      <c r="E16" s="703"/>
      <c r="F16" s="703"/>
      <c r="G16" s="703"/>
      <c r="H16" s="703"/>
    </row>
    <row r="17" spans="1:15" x14ac:dyDescent="0.2">
      <c r="A17" s="666"/>
      <c r="B17" s="667"/>
      <c r="C17" s="668"/>
      <c r="D17" s="703"/>
      <c r="E17" s="703"/>
      <c r="F17" s="703"/>
      <c r="G17" s="703"/>
      <c r="H17" s="703"/>
    </row>
    <row r="18" spans="1:15" x14ac:dyDescent="0.2">
      <c r="A18" s="547"/>
      <c r="B18" s="547"/>
      <c r="C18" s="547"/>
      <c r="D18" s="547"/>
      <c r="E18" s="547"/>
      <c r="F18" s="547"/>
      <c r="G18" s="547"/>
    </row>
    <row r="19" spans="1:15" x14ac:dyDescent="0.2">
      <c r="A19" s="664"/>
      <c r="B19" s="663" t="s">
        <v>180</v>
      </c>
      <c r="C19" s="669">
        <v>0</v>
      </c>
      <c r="D19" s="669">
        <v>0</v>
      </c>
      <c r="E19" s="669">
        <v>0</v>
      </c>
      <c r="F19" s="669">
        <v>0</v>
      </c>
      <c r="G19" s="669">
        <v>0</v>
      </c>
      <c r="H19" s="669">
        <v>0</v>
      </c>
    </row>
    <row r="20" spans="1:15" ht="13.5" thickBot="1" x14ac:dyDescent="0.25"/>
    <row r="21" spans="1:15" ht="13.9" customHeight="1" thickBot="1" x14ac:dyDescent="0.25">
      <c r="C21" s="912" t="s">
        <v>164</v>
      </c>
      <c r="D21" s="913"/>
      <c r="E21" s="913"/>
      <c r="F21" s="913"/>
      <c r="G21" s="913"/>
      <c r="H21" s="914"/>
    </row>
    <row r="22" spans="1:15" ht="17.25" customHeight="1" thickBot="1" x14ac:dyDescent="0.25">
      <c r="C22" s="915"/>
      <c r="D22" s="916"/>
      <c r="E22" s="916"/>
      <c r="F22" s="916"/>
      <c r="G22" s="916"/>
      <c r="H22" s="917"/>
      <c r="J22" s="670"/>
      <c r="K22" s="671" t="s">
        <v>165</v>
      </c>
      <c r="L22" s="671"/>
      <c r="M22" s="671"/>
      <c r="N22" s="671"/>
      <c r="O22" s="672"/>
    </row>
    <row r="23" spans="1:15" ht="15.75" customHeight="1" x14ac:dyDescent="0.2">
      <c r="C23" s="673">
        <f t="shared" ref="C23:H23" si="0">+C15</f>
        <v>20</v>
      </c>
      <c r="D23" s="674">
        <f t="shared" si="0"/>
        <v>200</v>
      </c>
      <c r="E23" s="674">
        <f t="shared" si="0"/>
        <v>500</v>
      </c>
      <c r="F23" s="674">
        <f t="shared" si="0"/>
        <v>1000</v>
      </c>
      <c r="G23" s="674">
        <f t="shared" si="0"/>
        <v>5000</v>
      </c>
      <c r="H23" s="675">
        <f t="shared" si="0"/>
        <v>10000</v>
      </c>
      <c r="J23" s="676"/>
      <c r="O23" s="677"/>
    </row>
    <row r="24" spans="1:15" ht="13.5" thickBot="1" x14ac:dyDescent="0.25">
      <c r="C24" s="678">
        <f t="shared" ref="C24:H24" si="1">C19</f>
        <v>0</v>
      </c>
      <c r="D24" s="679">
        <f t="shared" si="1"/>
        <v>0</v>
      </c>
      <c r="E24" s="679">
        <f t="shared" si="1"/>
        <v>0</v>
      </c>
      <c r="F24" s="679">
        <f t="shared" si="1"/>
        <v>0</v>
      </c>
      <c r="G24" s="679">
        <f t="shared" si="1"/>
        <v>0</v>
      </c>
      <c r="H24" s="680">
        <f t="shared" si="1"/>
        <v>0</v>
      </c>
      <c r="J24" s="676"/>
      <c r="K24" s="547" t="s">
        <v>166</v>
      </c>
      <c r="L24" s="547"/>
      <c r="M24" s="548">
        <v>44628</v>
      </c>
      <c r="N24" s="548"/>
      <c r="O24" s="677"/>
    </row>
    <row r="25" spans="1:15" x14ac:dyDescent="0.2">
      <c r="A25" s="494"/>
      <c r="B25" s="495"/>
      <c r="J25" s="676"/>
      <c r="O25" s="677"/>
    </row>
    <row r="26" spans="1:15" x14ac:dyDescent="0.2">
      <c r="A26" s="681"/>
      <c r="B26" s="682" t="s">
        <v>174</v>
      </c>
      <c r="C26" s="559" t="b">
        <f>+datos!E19</f>
        <v>0</v>
      </c>
      <c r="D26" s="669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6"/>
      <c r="O26" s="677"/>
    </row>
    <row r="27" spans="1:15" ht="13.5" thickBot="1" x14ac:dyDescent="0.25">
      <c r="B27" s="683" t="str">
        <f>+datos!C10</f>
        <v>-</v>
      </c>
      <c r="C27" s="684" t="b">
        <f>+datos!E20</f>
        <v>0</v>
      </c>
      <c r="D27" s="685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6"/>
      <c r="K27" s="549" t="s">
        <v>167</v>
      </c>
      <c r="L27" s="550" t="s">
        <v>168</v>
      </c>
      <c r="M27" s="663" t="s">
        <v>169</v>
      </c>
      <c r="N27" s="686"/>
      <c r="O27" s="677"/>
    </row>
    <row r="28" spans="1:15" ht="13.9" customHeight="1" thickTop="1" x14ac:dyDescent="0.2">
      <c r="B28" s="908" t="s">
        <v>318</v>
      </c>
      <c r="C28" s="918" t="s">
        <v>342</v>
      </c>
      <c r="D28" s="918" t="s">
        <v>321</v>
      </c>
      <c r="E28" s="910" t="s">
        <v>320</v>
      </c>
      <c r="G28" s="920"/>
      <c r="H28" s="920"/>
      <c r="J28" s="676"/>
      <c r="K28" s="551" t="s">
        <v>170</v>
      </c>
      <c r="L28" s="552">
        <f>M28/1000</f>
        <v>1.7999999999999999E-2</v>
      </c>
      <c r="M28" s="687">
        <v>18</v>
      </c>
      <c r="N28" s="688" t="s">
        <v>171</v>
      </c>
      <c r="O28" s="677"/>
    </row>
    <row r="29" spans="1:15" x14ac:dyDescent="0.2">
      <c r="A29" s="681"/>
      <c r="B29" s="909"/>
      <c r="C29" s="919"/>
      <c r="D29" s="919"/>
      <c r="E29" s="911"/>
      <c r="G29" s="920"/>
      <c r="H29" s="920"/>
      <c r="J29" s="676"/>
      <c r="K29" s="551" t="s">
        <v>237</v>
      </c>
      <c r="L29" s="552">
        <f t="shared" ref="L29:L34" si="2">M29/1000</f>
        <v>1.7999999999999999E-2</v>
      </c>
      <c r="M29" s="664">
        <v>18</v>
      </c>
      <c r="N29" s="688" t="s">
        <v>171</v>
      </c>
      <c r="O29" s="677"/>
    </row>
    <row r="30" spans="1:15" x14ac:dyDescent="0.2">
      <c r="A30" s="681"/>
      <c r="B30" s="544" t="s">
        <v>170</v>
      </c>
      <c r="C30" s="689">
        <f>+datos!E28</f>
        <v>0</v>
      </c>
      <c r="D30" s="689">
        <f>C30</f>
        <v>0</v>
      </c>
      <c r="E30" s="690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1"/>
      <c r="H30" s="692"/>
      <c r="J30" s="681"/>
      <c r="K30" s="551" t="s">
        <v>172</v>
      </c>
      <c r="L30" s="552">
        <f t="shared" si="2"/>
        <v>1.7999999999999999E-2</v>
      </c>
      <c r="M30" s="664">
        <v>18</v>
      </c>
      <c r="N30" s="688" t="s">
        <v>171</v>
      </c>
      <c r="O30" s="677"/>
    </row>
    <row r="31" spans="1:15" x14ac:dyDescent="0.2">
      <c r="A31" s="681"/>
      <c r="B31" s="544" t="s">
        <v>237</v>
      </c>
      <c r="C31" s="689">
        <f>+datos!E29</f>
        <v>0</v>
      </c>
      <c r="D31" s="689">
        <f t="shared" ref="D31:D38" si="3">D30+C31</f>
        <v>0</v>
      </c>
      <c r="E31" s="690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1"/>
      <c r="H31" s="692"/>
      <c r="J31" s="681"/>
      <c r="K31" s="551" t="s">
        <v>173</v>
      </c>
      <c r="L31" s="552">
        <f t="shared" si="2"/>
        <v>1.7999999999999999E-2</v>
      </c>
      <c r="M31" s="664">
        <v>18</v>
      </c>
      <c r="N31" s="688" t="s">
        <v>171</v>
      </c>
      <c r="O31" s="677"/>
    </row>
    <row r="32" spans="1:15" x14ac:dyDescent="0.2">
      <c r="A32" s="681"/>
      <c r="B32" s="544" t="s">
        <v>172</v>
      </c>
      <c r="C32" s="689">
        <f>+datos!E30</f>
        <v>0</v>
      </c>
      <c r="D32" s="689">
        <f t="shared" si="3"/>
        <v>0</v>
      </c>
      <c r="E32" s="690">
        <f t="shared" si="4"/>
        <v>0</v>
      </c>
      <c r="G32" s="691"/>
      <c r="H32" s="692"/>
      <c r="J32" s="681"/>
      <c r="K32" s="551" t="s">
        <v>175</v>
      </c>
      <c r="L32" s="552">
        <f t="shared" si="2"/>
        <v>1.7999999999999999E-2</v>
      </c>
      <c r="M32" s="664">
        <v>18</v>
      </c>
      <c r="N32" s="688" t="s">
        <v>171</v>
      </c>
      <c r="O32" s="677"/>
    </row>
    <row r="33" spans="1:15" x14ac:dyDescent="0.2">
      <c r="A33" s="681"/>
      <c r="B33" s="544" t="s">
        <v>173</v>
      </c>
      <c r="C33" s="689">
        <f>+datos!E31</f>
        <v>0</v>
      </c>
      <c r="D33" s="689">
        <f t="shared" si="3"/>
        <v>0</v>
      </c>
      <c r="E33" s="690">
        <f t="shared" si="4"/>
        <v>0</v>
      </c>
      <c r="G33" s="691"/>
      <c r="H33" s="692"/>
      <c r="J33" s="681"/>
      <c r="K33" s="551" t="s">
        <v>18</v>
      </c>
      <c r="L33" s="552">
        <f t="shared" si="2"/>
        <v>1.7999999999999999E-2</v>
      </c>
      <c r="M33" s="664">
        <v>18</v>
      </c>
      <c r="N33" s="688" t="s">
        <v>171</v>
      </c>
      <c r="O33" s="677"/>
    </row>
    <row r="34" spans="1:15" x14ac:dyDescent="0.2">
      <c r="A34" s="681"/>
      <c r="B34" s="544" t="s">
        <v>175</v>
      </c>
      <c r="C34" s="689">
        <f>+datos!E32</f>
        <v>0</v>
      </c>
      <c r="D34" s="689">
        <f t="shared" si="3"/>
        <v>0</v>
      </c>
      <c r="E34" s="690">
        <f t="shared" si="4"/>
        <v>0</v>
      </c>
      <c r="G34" s="691"/>
      <c r="H34" s="692"/>
      <c r="J34" s="681"/>
      <c r="K34" s="551" t="s">
        <v>32</v>
      </c>
      <c r="L34" s="552">
        <f t="shared" si="2"/>
        <v>1.7999999999999999E-2</v>
      </c>
      <c r="M34" s="664">
        <v>18</v>
      </c>
      <c r="N34" s="688" t="s">
        <v>171</v>
      </c>
      <c r="O34" s="677"/>
    </row>
    <row r="35" spans="1:15" x14ac:dyDescent="0.2">
      <c r="A35" s="681"/>
      <c r="B35" s="544" t="s">
        <v>18</v>
      </c>
      <c r="C35" s="689">
        <f>+datos!E33</f>
        <v>0</v>
      </c>
      <c r="D35" s="689">
        <f t="shared" si="3"/>
        <v>0</v>
      </c>
      <c r="E35" s="690">
        <f t="shared" si="4"/>
        <v>0</v>
      </c>
      <c r="G35" s="691"/>
      <c r="H35" s="692"/>
      <c r="J35" s="681"/>
      <c r="K35" s="551" t="s">
        <v>19</v>
      </c>
      <c r="L35" s="552">
        <f t="shared" ref="L35:L44" si="5">M35/1000</f>
        <v>1.7999999999999999E-2</v>
      </c>
      <c r="M35" s="664">
        <v>18</v>
      </c>
      <c r="N35" s="688" t="s">
        <v>171</v>
      </c>
      <c r="O35" s="677"/>
    </row>
    <row r="36" spans="1:15" x14ac:dyDescent="0.2">
      <c r="A36" s="681"/>
      <c r="B36" s="544" t="s">
        <v>32</v>
      </c>
      <c r="C36" s="689">
        <f>+datos!E34</f>
        <v>0</v>
      </c>
      <c r="D36" s="689">
        <f t="shared" si="3"/>
        <v>0</v>
      </c>
      <c r="E36" s="690">
        <f t="shared" si="4"/>
        <v>0</v>
      </c>
      <c r="G36" s="691"/>
      <c r="H36" s="692"/>
      <c r="J36" s="681"/>
      <c r="K36" s="551" t="s">
        <v>155</v>
      </c>
      <c r="L36" s="552">
        <f t="shared" si="5"/>
        <v>1.7999999999999999E-2</v>
      </c>
      <c r="M36" s="664">
        <v>18</v>
      </c>
      <c r="N36" s="688" t="s">
        <v>171</v>
      </c>
      <c r="O36" s="677"/>
    </row>
    <row r="37" spans="1:15" x14ac:dyDescent="0.2">
      <c r="A37" s="681"/>
      <c r="B37" s="544" t="s">
        <v>19</v>
      </c>
      <c r="C37" s="689">
        <f>+datos!E35</f>
        <v>0</v>
      </c>
      <c r="D37" s="689">
        <f t="shared" si="3"/>
        <v>0</v>
      </c>
      <c r="E37" s="690">
        <f t="shared" si="4"/>
        <v>0</v>
      </c>
      <c r="G37" s="691"/>
      <c r="H37" s="692"/>
      <c r="J37" s="681"/>
      <c r="K37" s="551" t="s">
        <v>156</v>
      </c>
      <c r="L37" s="552">
        <f t="shared" si="5"/>
        <v>6.4999999999999997E-3</v>
      </c>
      <c r="M37" s="664">
        <v>6.5</v>
      </c>
      <c r="N37" s="688" t="s">
        <v>171</v>
      </c>
      <c r="O37" s="677"/>
    </row>
    <row r="38" spans="1:15" ht="13.5" thickBot="1" x14ac:dyDescent="0.25">
      <c r="A38" s="681"/>
      <c r="B38" s="545" t="s">
        <v>155</v>
      </c>
      <c r="C38" s="693">
        <f>+datos!E36</f>
        <v>11.799961178</v>
      </c>
      <c r="D38" s="693">
        <f t="shared" si="3"/>
        <v>11.799961178</v>
      </c>
      <c r="E38" s="694">
        <f t="shared" si="4"/>
        <v>0</v>
      </c>
      <c r="G38" s="691"/>
      <c r="H38" s="692"/>
      <c r="J38" s="681"/>
      <c r="K38" s="551" t="s">
        <v>160</v>
      </c>
      <c r="L38" s="552">
        <f t="shared" si="5"/>
        <v>1.0999999999999999E-2</v>
      </c>
      <c r="M38" s="664">
        <v>11</v>
      </c>
      <c r="N38" s="688" t="s">
        <v>171</v>
      </c>
      <c r="O38" s="677"/>
    </row>
    <row r="39" spans="1:15" ht="13.5" thickTop="1" x14ac:dyDescent="0.2">
      <c r="A39" s="681"/>
      <c r="B39" s="546" t="s">
        <v>156</v>
      </c>
      <c r="C39" s="695">
        <f>+datos!E37</f>
        <v>70.499768055000004</v>
      </c>
      <c r="D39" s="695">
        <f>IF(B27="Fraccionada",C39,D38+C39)</f>
        <v>82.299729233000008</v>
      </c>
      <c r="E39" s="696">
        <f t="shared" si="4"/>
        <v>0</v>
      </c>
      <c r="G39" s="691"/>
      <c r="H39" s="692"/>
      <c r="J39" s="681"/>
      <c r="K39" s="551" t="s">
        <v>157</v>
      </c>
      <c r="L39" s="552">
        <f t="shared" si="5"/>
        <v>5.4000000000000003E-3</v>
      </c>
      <c r="M39" s="664">
        <v>5.4</v>
      </c>
      <c r="N39" s="688" t="s">
        <v>171</v>
      </c>
      <c r="O39" s="677"/>
    </row>
    <row r="40" spans="1:15" x14ac:dyDescent="0.2">
      <c r="A40" s="681"/>
      <c r="B40" s="544" t="s">
        <v>160</v>
      </c>
      <c r="C40" s="689">
        <f>+datos!E38</f>
        <v>18.799938147999999</v>
      </c>
      <c r="D40" s="689">
        <f t="shared" ref="D40:D46" si="6">D39+C40</f>
        <v>101.099667381</v>
      </c>
      <c r="E40" s="690">
        <f t="shared" si="4"/>
        <v>0</v>
      </c>
      <c r="G40" s="691"/>
      <c r="H40" s="692"/>
      <c r="J40" s="681"/>
      <c r="K40" s="551" t="s">
        <v>238</v>
      </c>
      <c r="L40" s="552">
        <f t="shared" si="5"/>
        <v>3.5000000000000001E-3</v>
      </c>
      <c r="M40" s="664">
        <v>3.5</v>
      </c>
      <c r="N40" s="688" t="s">
        <v>171</v>
      </c>
      <c r="O40" s="677"/>
    </row>
    <row r="41" spans="1:15" x14ac:dyDescent="0.2">
      <c r="A41" s="681"/>
      <c r="B41" s="544" t="s">
        <v>157</v>
      </c>
      <c r="C41" s="689">
        <f>+datos!E39</f>
        <v>79.799737457999996</v>
      </c>
      <c r="D41" s="689">
        <f t="shared" si="6"/>
        <v>180.899404839</v>
      </c>
      <c r="E41" s="690">
        <f t="shared" si="4"/>
        <v>0</v>
      </c>
      <c r="G41" s="691"/>
      <c r="H41" s="692"/>
      <c r="J41" s="681"/>
      <c r="K41" s="551" t="s">
        <v>162</v>
      </c>
      <c r="L41" s="552">
        <f t="shared" si="5"/>
        <v>2.7000000000000001E-3</v>
      </c>
      <c r="M41" s="664">
        <v>2.7</v>
      </c>
      <c r="N41" s="688" t="s">
        <v>171</v>
      </c>
      <c r="O41" s="677"/>
    </row>
    <row r="42" spans="1:15" x14ac:dyDescent="0.2">
      <c r="A42" s="681"/>
      <c r="B42" s="544" t="s">
        <v>161</v>
      </c>
      <c r="C42" s="689">
        <f>+datos!E40</f>
        <v>80.799734168000001</v>
      </c>
      <c r="D42" s="689">
        <f t="shared" si="6"/>
        <v>261.69913900699999</v>
      </c>
      <c r="E42" s="690">
        <f t="shared" si="4"/>
        <v>0</v>
      </c>
      <c r="G42" s="691"/>
      <c r="H42" s="692"/>
      <c r="J42" s="681"/>
      <c r="K42" s="551" t="s">
        <v>158</v>
      </c>
      <c r="L42" s="552">
        <f t="shared" si="5"/>
        <v>2.5000000000000001E-3</v>
      </c>
      <c r="M42" s="664">
        <v>2.5</v>
      </c>
      <c r="N42" s="688" t="s">
        <v>171</v>
      </c>
      <c r="O42" s="677"/>
    </row>
    <row r="43" spans="1:15" x14ac:dyDescent="0.2">
      <c r="A43" s="681"/>
      <c r="B43" s="544" t="s">
        <v>162</v>
      </c>
      <c r="C43" s="689">
        <f>+datos!E41</f>
        <v>30.999898009999999</v>
      </c>
      <c r="D43" s="689">
        <f t="shared" si="6"/>
        <v>292.69903701699997</v>
      </c>
      <c r="E43" s="690">
        <f t="shared" si="4"/>
        <v>0</v>
      </c>
      <c r="G43" s="691"/>
      <c r="H43" s="692"/>
      <c r="J43" s="681"/>
      <c r="K43" s="551" t="s">
        <v>159</v>
      </c>
      <c r="L43" s="552">
        <f t="shared" si="5"/>
        <v>1.2999999999999999E-3</v>
      </c>
      <c r="M43" s="664">
        <v>1.3</v>
      </c>
      <c r="N43" s="688" t="s">
        <v>171</v>
      </c>
      <c r="O43" s="677"/>
    </row>
    <row r="44" spans="1:15" x14ac:dyDescent="0.2">
      <c r="A44" s="681"/>
      <c r="B44" s="544" t="s">
        <v>158</v>
      </c>
      <c r="C44" s="689">
        <f>+datos!E42</f>
        <v>21.499929264999999</v>
      </c>
      <c r="D44" s="689">
        <f t="shared" si="6"/>
        <v>314.19896628199996</v>
      </c>
      <c r="E44" s="690">
        <f t="shared" si="4"/>
        <v>0</v>
      </c>
      <c r="G44" s="691"/>
      <c r="H44" s="692"/>
      <c r="J44" s="681"/>
      <c r="K44" s="551" t="s">
        <v>163</v>
      </c>
      <c r="L44" s="552">
        <f t="shared" si="5"/>
        <v>1.2999999999999999E-3</v>
      </c>
      <c r="M44" s="664">
        <v>1.3</v>
      </c>
      <c r="N44" s="697"/>
      <c r="O44" s="677"/>
    </row>
    <row r="45" spans="1:15" x14ac:dyDescent="0.2">
      <c r="A45" s="681"/>
      <c r="B45" s="544" t="s">
        <v>159</v>
      </c>
      <c r="C45" s="689">
        <f>+datos!E43</f>
        <v>30.799898668000001</v>
      </c>
      <c r="D45" s="689">
        <f>D44+C45</f>
        <v>344.99886494999998</v>
      </c>
      <c r="E45" s="690">
        <f t="shared" si="4"/>
        <v>0</v>
      </c>
      <c r="G45" s="691"/>
      <c r="H45" s="692"/>
      <c r="J45" s="681"/>
      <c r="O45" s="677"/>
    </row>
    <row r="46" spans="1:15" ht="13.5" thickBot="1" x14ac:dyDescent="0.25">
      <c r="A46" s="681"/>
      <c r="B46" s="545" t="s">
        <v>163</v>
      </c>
      <c r="C46" s="693">
        <f>+datos!E44</f>
        <v>14.899950979</v>
      </c>
      <c r="D46" s="693">
        <f t="shared" si="6"/>
        <v>359.89881592899997</v>
      </c>
      <c r="E46" s="690">
        <f t="shared" si="4"/>
        <v>0</v>
      </c>
      <c r="G46" s="691"/>
      <c r="H46" s="692"/>
      <c r="J46" s="553"/>
      <c r="K46" s="554"/>
      <c r="L46" s="554"/>
      <c r="M46" s="554"/>
      <c r="N46" s="554"/>
      <c r="O46" s="698"/>
    </row>
    <row r="47" spans="1:15" ht="13.5" thickTop="1" x14ac:dyDescent="0.2">
      <c r="H47" s="493"/>
    </row>
    <row r="48" spans="1:15" x14ac:dyDescent="0.2">
      <c r="H48" s="493"/>
    </row>
    <row r="49" spans="1:8" x14ac:dyDescent="0.2">
      <c r="B49" s="802" t="s">
        <v>176</v>
      </c>
      <c r="C49" s="803"/>
      <c r="H49" s="555"/>
    </row>
    <row r="50" spans="1:8" x14ac:dyDescent="0.2">
      <c r="B50" s="800" t="s">
        <v>474</v>
      </c>
      <c r="D50" s="801">
        <v>46142</v>
      </c>
    </row>
    <row r="52" spans="1:8" ht="53.45" customHeight="1" x14ac:dyDescent="0.2">
      <c r="A52" s="556" t="s">
        <v>167</v>
      </c>
      <c r="B52" s="799" t="s">
        <v>348</v>
      </c>
      <c r="C52" s="567" t="s">
        <v>272</v>
      </c>
      <c r="D52" s="579"/>
      <c r="E52" s="557"/>
    </row>
    <row r="53" spans="1:8" x14ac:dyDescent="0.2">
      <c r="A53" s="558" t="s">
        <v>170</v>
      </c>
      <c r="B53" s="699">
        <v>0</v>
      </c>
      <c r="C53" s="699">
        <v>0</v>
      </c>
      <c r="D53" s="700"/>
      <c r="E53" s="700"/>
    </row>
    <row r="54" spans="1:8" x14ac:dyDescent="0.2">
      <c r="A54" s="558" t="s">
        <v>237</v>
      </c>
      <c r="B54" s="699">
        <v>0</v>
      </c>
      <c r="C54" s="699">
        <v>0</v>
      </c>
      <c r="D54" s="700"/>
      <c r="E54" s="700"/>
    </row>
    <row r="55" spans="1:8" x14ac:dyDescent="0.2">
      <c r="A55" s="558" t="s">
        <v>172</v>
      </c>
      <c r="B55" s="699">
        <v>0</v>
      </c>
      <c r="C55" s="699">
        <v>0</v>
      </c>
      <c r="D55" s="700"/>
      <c r="E55" s="700"/>
    </row>
    <row r="56" spans="1:8" x14ac:dyDescent="0.2">
      <c r="A56" s="558" t="s">
        <v>173</v>
      </c>
      <c r="B56" s="699">
        <v>0</v>
      </c>
      <c r="C56" s="699">
        <v>0</v>
      </c>
      <c r="D56" s="700"/>
      <c r="E56" s="700"/>
    </row>
    <row r="57" spans="1:8" x14ac:dyDescent="0.2">
      <c r="A57" s="558" t="s">
        <v>175</v>
      </c>
      <c r="B57" s="699">
        <v>0</v>
      </c>
      <c r="C57" s="699">
        <v>0</v>
      </c>
      <c r="D57" s="700"/>
      <c r="E57" s="700"/>
    </row>
    <row r="58" spans="1:8" x14ac:dyDescent="0.2">
      <c r="A58" s="558" t="s">
        <v>18</v>
      </c>
      <c r="B58" s="699">
        <v>0</v>
      </c>
      <c r="C58" s="699">
        <v>0</v>
      </c>
      <c r="D58" s="700"/>
      <c r="E58" s="700"/>
    </row>
    <row r="59" spans="1:8" x14ac:dyDescent="0.2">
      <c r="A59" s="558" t="s">
        <v>32</v>
      </c>
      <c r="B59" s="699">
        <v>0</v>
      </c>
      <c r="C59" s="699">
        <v>0</v>
      </c>
      <c r="D59" s="700"/>
      <c r="E59" s="700"/>
    </row>
    <row r="60" spans="1:8" x14ac:dyDescent="0.2">
      <c r="A60" s="558" t="s">
        <v>19</v>
      </c>
      <c r="B60" s="699">
        <v>0</v>
      </c>
      <c r="C60" s="699">
        <v>0</v>
      </c>
      <c r="D60" s="700"/>
      <c r="E60" s="700"/>
    </row>
    <row r="61" spans="1:8" x14ac:dyDescent="0.2">
      <c r="A61" s="558" t="s">
        <v>155</v>
      </c>
      <c r="B61" s="699">
        <v>7.8102205558218438E-2</v>
      </c>
      <c r="C61" s="699">
        <v>8.2494332399335443E-2</v>
      </c>
      <c r="D61" s="700"/>
      <c r="E61" s="700"/>
    </row>
    <row r="62" spans="1:8" x14ac:dyDescent="0.2">
      <c r="A62" s="558" t="s">
        <v>156</v>
      </c>
      <c r="B62" s="699">
        <v>0.24270886010920917</v>
      </c>
      <c r="C62" s="699">
        <v>0.24465262833019497</v>
      </c>
      <c r="D62" s="700"/>
      <c r="E62" s="700"/>
    </row>
    <row r="63" spans="1:8" x14ac:dyDescent="0.2">
      <c r="A63" s="558" t="s">
        <v>160</v>
      </c>
      <c r="B63" s="699">
        <v>0.32081881115367472</v>
      </c>
      <c r="C63" s="699">
        <v>0.34618670168438298</v>
      </c>
      <c r="D63" s="700"/>
      <c r="E63" s="700"/>
    </row>
    <row r="64" spans="1:8" x14ac:dyDescent="0.2">
      <c r="A64" s="558" t="s">
        <v>157</v>
      </c>
      <c r="B64" s="699">
        <v>0.53458571667600707</v>
      </c>
      <c r="C64" s="699">
        <v>0.57717227286380801</v>
      </c>
      <c r="D64" s="700"/>
      <c r="E64" s="700"/>
    </row>
    <row r="65" spans="1:5" x14ac:dyDescent="0.2">
      <c r="A65" s="558" t="s">
        <v>238</v>
      </c>
      <c r="B65" s="699">
        <v>0.48239791708632423</v>
      </c>
      <c r="C65" s="699">
        <v>0.64464161334682302</v>
      </c>
      <c r="D65" s="700"/>
      <c r="E65" s="700"/>
    </row>
    <row r="66" spans="1:5" x14ac:dyDescent="0.2">
      <c r="A66" s="558" t="s">
        <v>162</v>
      </c>
      <c r="B66" s="699">
        <v>0.34208544824232401</v>
      </c>
      <c r="C66" s="699">
        <v>0.36037631614706434</v>
      </c>
      <c r="D66" s="700"/>
      <c r="E66" s="700"/>
    </row>
    <row r="67" spans="1:5" x14ac:dyDescent="0.2">
      <c r="A67" s="558" t="s">
        <v>158</v>
      </c>
      <c r="B67" s="699">
        <v>0.45392671715941679</v>
      </c>
      <c r="C67" s="699">
        <v>0.51407100842544873</v>
      </c>
      <c r="D67" s="700"/>
      <c r="E67" s="700"/>
    </row>
    <row r="68" spans="1:5" x14ac:dyDescent="0.2">
      <c r="A68" s="558" t="s">
        <v>159</v>
      </c>
      <c r="B68" s="699">
        <v>0.24282402392218505</v>
      </c>
      <c r="C68" s="699">
        <v>0.25127048276239239</v>
      </c>
      <c r="D68" s="700"/>
      <c r="E68" s="700"/>
    </row>
    <row r="69" spans="1:5" x14ac:dyDescent="0.2">
      <c r="A69" s="558" t="s">
        <v>163</v>
      </c>
      <c r="B69" s="699">
        <v>0.31355805092132405</v>
      </c>
      <c r="C69" s="699">
        <v>0.32233975414555627</v>
      </c>
      <c r="D69" s="700"/>
      <c r="E69" s="700"/>
    </row>
  </sheetData>
  <sheetProtection algorithmName="SHA-512" hashValue="5IFB9Cr9ipvXKmqljqKmi53QMyYWDNP7p3bsGLSyj3op4WTjDFySixgcwNxy1AR6f/SSwWDJIXh7G9F5MSnfZA==" saltValue="/r6uXskgaTmPgE9k//uQYg==" spinCount="100000"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28515625" defaultRowHeight="12.75" x14ac:dyDescent="0.2"/>
  <cols>
    <col min="1" max="1" width="12.7109375" style="87" customWidth="1"/>
    <col min="2" max="7" width="8.28515625" style="87" customWidth="1"/>
    <col min="8" max="8" width="4.7109375" style="87" customWidth="1"/>
    <col min="9" max="10" width="10.5703125" style="87" customWidth="1"/>
    <col min="11" max="11" width="12.7109375" style="86" customWidth="1"/>
    <col min="12" max="12" width="2.85546875" style="86" customWidth="1"/>
    <col min="13" max="13" width="6.28515625" style="86" customWidth="1"/>
    <col min="14" max="15" width="7" style="87" customWidth="1"/>
    <col min="16" max="16" width="10.7109375" style="87" customWidth="1"/>
    <col min="17" max="17" width="11.28515625" style="87" customWidth="1"/>
    <col min="18" max="18" width="4.42578125" style="87" customWidth="1"/>
    <col min="19" max="19" width="6.7109375" style="87" customWidth="1"/>
    <col min="20" max="20" width="5.5703125" style="87" customWidth="1"/>
    <col min="21" max="22" width="8.5703125" style="87" customWidth="1"/>
    <col min="23" max="23" width="11.85546875" style="87" customWidth="1"/>
    <col min="24" max="24" width="8" style="87" customWidth="1"/>
    <col min="25" max="255" width="11.42578125" style="87" customWidth="1"/>
    <col min="256" max="16384" width="12.28515625" style="87"/>
  </cols>
  <sheetData>
    <row r="1" spans="1:31" ht="15.75" customHeight="1" x14ac:dyDescent="0.2">
      <c r="K1" s="87"/>
    </row>
    <row r="2" spans="1:31" ht="15.75" customHeight="1" x14ac:dyDescent="0.2">
      <c r="K2" s="87"/>
    </row>
    <row r="3" spans="1:31" ht="15.75" customHeight="1" x14ac:dyDescent="0.2">
      <c r="K3" s="87"/>
    </row>
    <row r="4" spans="1:31" ht="15.75" customHeight="1" x14ac:dyDescent="0.2">
      <c r="K4" s="87"/>
    </row>
    <row r="5" spans="1:31" ht="15.75" customHeight="1" x14ac:dyDescent="0.2">
      <c r="A5" s="934" t="s">
        <v>2</v>
      </c>
      <c r="B5" s="934"/>
      <c r="C5" s="934"/>
      <c r="D5" s="934"/>
      <c r="E5" s="934"/>
      <c r="F5" s="934"/>
      <c r="G5" s="934"/>
      <c r="H5" s="934"/>
      <c r="I5" s="934"/>
      <c r="J5" s="934"/>
      <c r="K5" s="934"/>
    </row>
    <row r="6" spans="1:31" ht="15.95" customHeight="1" x14ac:dyDescent="0.25">
      <c r="A6" s="941">
        <f>+K12</f>
        <v>32</v>
      </c>
      <c r="B6" s="941"/>
      <c r="C6" s="941"/>
      <c r="D6" s="941"/>
      <c r="E6" s="941"/>
      <c r="F6" s="941"/>
      <c r="G6" s="941"/>
      <c r="H6" s="941"/>
      <c r="I6" s="941"/>
      <c r="J6" s="941"/>
      <c r="K6" s="941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5" customHeight="1" x14ac:dyDescent="0.2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5" customHeight="1" x14ac:dyDescent="0.2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5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45">
        <v>44090</v>
      </c>
      <c r="U9" s="945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5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5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5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5" customHeight="1" x14ac:dyDescent="0.2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5" customHeight="1" x14ac:dyDescent="0.2">
      <c r="A14" s="942" t="s">
        <v>128</v>
      </c>
      <c r="B14" s="943"/>
      <c r="C14" s="943"/>
      <c r="D14" s="943"/>
      <c r="E14" s="943"/>
      <c r="F14" s="943"/>
      <c r="G14" s="943"/>
      <c r="H14" s="943"/>
      <c r="I14" s="943"/>
      <c r="J14" s="943"/>
      <c r="K14" s="944"/>
      <c r="L14" s="87"/>
      <c r="M14" s="87"/>
      <c r="P14" s="86"/>
      <c r="Q14" s="86"/>
      <c r="R14" s="86"/>
      <c r="S14" s="86"/>
    </row>
    <row r="15" spans="1:31" ht="15.95" customHeight="1" x14ac:dyDescent="0.2">
      <c r="A15" s="949" t="s">
        <v>131</v>
      </c>
      <c r="B15" s="950"/>
      <c r="C15" s="950"/>
      <c r="D15" s="950"/>
      <c r="E15" s="950"/>
      <c r="F15" s="950"/>
      <c r="G15" s="950"/>
      <c r="H15" s="950"/>
      <c r="I15" s="950"/>
      <c r="J15" s="950"/>
      <c r="K15" s="951"/>
      <c r="L15" s="87"/>
      <c r="M15" s="87"/>
      <c r="P15" s="86"/>
      <c r="Q15" s="86"/>
      <c r="R15" s="86"/>
      <c r="S15" s="86"/>
    </row>
    <row r="16" spans="1:31" ht="6" customHeight="1" x14ac:dyDescent="0.2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5" customHeight="1" x14ac:dyDescent="0.25">
      <c r="A17" s="939" t="s">
        <v>5</v>
      </c>
      <c r="B17" s="940"/>
      <c r="C17" s="940"/>
      <c r="D17" s="940"/>
      <c r="E17" s="940"/>
      <c r="F17" s="940"/>
      <c r="G17" s="940"/>
      <c r="H17" s="940"/>
      <c r="I17" s="940"/>
      <c r="J17" s="1"/>
      <c r="K17" s="199"/>
      <c r="L17" s="87"/>
      <c r="M17" s="87"/>
      <c r="P17" s="86"/>
      <c r="Q17" s="86"/>
      <c r="R17" s="86"/>
      <c r="S17" s="86"/>
    </row>
    <row r="18" spans="1:27" ht="15.95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5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22" t="s">
        <v>9</v>
      </c>
      <c r="V19" s="923"/>
      <c r="W19" s="933" t="s">
        <v>100</v>
      </c>
      <c r="X19" s="845" t="s">
        <v>45</v>
      </c>
      <c r="Y19" s="845" t="s">
        <v>41</v>
      </c>
      <c r="Z19" s="845" t="s">
        <v>42</v>
      </c>
      <c r="AA19" s="845" t="s">
        <v>43</v>
      </c>
    </row>
    <row r="20" spans="1:27" ht="15.95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33"/>
      <c r="X20" s="846"/>
      <c r="Y20" s="846"/>
      <c r="Z20" s="846"/>
      <c r="AA20" s="846"/>
    </row>
    <row r="21" spans="1:27" ht="14.25" customHeight="1" x14ac:dyDescent="0.2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">
      <c r="A23" s="140"/>
      <c r="B23" s="922" t="s">
        <v>9</v>
      </c>
      <c r="C23" s="923"/>
      <c r="D23" s="845" t="s">
        <v>45</v>
      </c>
      <c r="E23" s="845" t="s">
        <v>41</v>
      </c>
      <c r="F23" s="845" t="s">
        <v>42</v>
      </c>
      <c r="G23" s="845" t="s">
        <v>43</v>
      </c>
      <c r="H23" s="138"/>
      <c r="I23" s="927" t="s">
        <v>36</v>
      </c>
      <c r="J23" s="928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46"/>
      <c r="E24" s="846"/>
      <c r="F24" s="846"/>
      <c r="G24" s="846"/>
      <c r="H24" s="156"/>
      <c r="I24" s="930">
        <f>+Q23</f>
        <v>23983.979695431473</v>
      </c>
      <c r="J24" s="931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29" t="s">
        <v>92</v>
      </c>
      <c r="J26" s="929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38"/>
      <c r="J30" s="938"/>
      <c r="K30" s="143"/>
      <c r="L30" s="91"/>
      <c r="M30" s="946" t="s">
        <v>74</v>
      </c>
      <c r="N30" s="947"/>
      <c r="O30" s="947"/>
      <c r="P30" s="948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38"/>
      <c r="J31" s="938"/>
      <c r="K31" s="143"/>
      <c r="L31" s="91"/>
      <c r="M31" s="935" t="s">
        <v>82</v>
      </c>
      <c r="N31" s="936"/>
      <c r="O31" s="936"/>
      <c r="P31" s="937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24" t="s">
        <v>89</v>
      </c>
      <c r="AA34" s="925"/>
      <c r="AB34" s="925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25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5" customHeight="1" x14ac:dyDescent="0.2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5" customHeight="1" x14ac:dyDescent="0.2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5" customHeight="1" x14ac:dyDescent="0.2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5" customHeight="1" x14ac:dyDescent="0.2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5" customHeight="1" x14ac:dyDescent="0.2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5" customHeight="1" x14ac:dyDescent="0.2">
      <c r="A57" s="16" t="s">
        <v>99</v>
      </c>
      <c r="B57" s="5"/>
      <c r="C57" s="5"/>
      <c r="D57" s="926"/>
      <c r="E57" s="926"/>
      <c r="F57" s="926"/>
      <c r="G57" s="926"/>
      <c r="H57" s="926"/>
      <c r="I57" s="926"/>
      <c r="J57" s="926"/>
      <c r="K57" s="926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">
      <c r="A60" s="932" t="s">
        <v>122</v>
      </c>
      <c r="B60" s="932"/>
      <c r="C60" s="932"/>
      <c r="D60" s="932"/>
      <c r="E60" s="932"/>
      <c r="F60" s="932"/>
      <c r="G60" s="932"/>
      <c r="H60" s="932"/>
      <c r="I60" s="932"/>
      <c r="J60" s="932"/>
      <c r="K60" s="932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5" x14ac:dyDescent="0.25">
      <c r="A61" s="1"/>
      <c r="B61" s="1"/>
      <c r="C61" s="1"/>
      <c r="D61" s="1"/>
      <c r="E61" s="1"/>
      <c r="F61" s="1"/>
      <c r="G61" s="1"/>
      <c r="H61" s="921" t="s">
        <v>123</v>
      </c>
      <c r="I61" s="921"/>
      <c r="J61" s="921"/>
      <c r="K61" s="921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75" x14ac:dyDescent="0.25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28515625" defaultRowHeight="15" x14ac:dyDescent="0.25"/>
  <cols>
    <col min="1" max="1" width="12.7109375" style="1" customWidth="1"/>
    <col min="2" max="7" width="8.28515625" style="1" customWidth="1"/>
    <col min="8" max="8" width="4.28515625" style="1" customWidth="1"/>
    <col min="9" max="10" width="7.7109375" style="1" customWidth="1"/>
    <col min="11" max="11" width="13.7109375" style="1" customWidth="1"/>
    <col min="12" max="12" width="15.7109375" style="1" customWidth="1"/>
    <col min="13" max="14" width="7.7109375" style="1" customWidth="1"/>
    <col min="15" max="15" width="11.7109375" style="1" customWidth="1"/>
    <col min="16" max="19" width="7.7109375" style="1" customWidth="1"/>
    <col min="20" max="20" width="5.7109375" style="1" customWidth="1"/>
    <col min="21" max="21" width="10.5703125" style="1" customWidth="1"/>
    <col min="22" max="22" width="17" style="1" customWidth="1"/>
    <col min="23" max="24" width="10.5703125" style="1" customWidth="1"/>
    <col min="25" max="16384" width="10.285156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34" t="s">
        <v>2</v>
      </c>
      <c r="B7" s="934"/>
      <c r="C7" s="934"/>
      <c r="D7" s="934"/>
      <c r="E7" s="934"/>
      <c r="F7" s="934"/>
      <c r="G7" s="934"/>
      <c r="H7" s="934"/>
      <c r="I7" s="934"/>
      <c r="J7" s="934"/>
      <c r="K7" s="934"/>
      <c r="X7" s="178"/>
    </row>
    <row r="8" spans="1:24" ht="15.75" customHeight="1" x14ac:dyDescent="0.25">
      <c r="A8" s="961">
        <v>1</v>
      </c>
      <c r="B8" s="961"/>
      <c r="C8" s="961"/>
      <c r="D8" s="961"/>
      <c r="E8" s="961"/>
      <c r="F8" s="961"/>
      <c r="G8" s="961"/>
      <c r="H8" s="961"/>
      <c r="I8" s="961"/>
      <c r="J8" s="961"/>
      <c r="K8" s="961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22" t="s">
        <v>9</v>
      </c>
      <c r="N13" s="923"/>
      <c r="O13" s="954" t="s">
        <v>69</v>
      </c>
      <c r="P13" s="955"/>
      <c r="Q13" s="956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57"/>
      <c r="P14" s="958"/>
      <c r="Q14" s="959"/>
      <c r="W14" s="178"/>
      <c r="X14" s="178"/>
    </row>
    <row r="15" spans="1:24" ht="15.75" x14ac:dyDescent="0.25">
      <c r="A15" s="942" t="s">
        <v>128</v>
      </c>
      <c r="B15" s="943"/>
      <c r="C15" s="943"/>
      <c r="D15" s="943"/>
      <c r="E15" s="943"/>
      <c r="F15" s="943"/>
      <c r="G15" s="943"/>
      <c r="H15" s="943"/>
      <c r="I15" s="943"/>
      <c r="J15" s="943"/>
      <c r="K15" s="944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49" t="s">
        <v>131</v>
      </c>
      <c r="B16" s="950"/>
      <c r="C16" s="950"/>
      <c r="D16" s="950"/>
      <c r="E16" s="950"/>
      <c r="F16" s="950"/>
      <c r="G16" s="950"/>
      <c r="H16" s="950"/>
      <c r="I16" s="950"/>
      <c r="J16" s="950"/>
      <c r="K16" s="951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39" t="s">
        <v>5</v>
      </c>
      <c r="B18" s="940"/>
      <c r="C18" s="940"/>
      <c r="D18" s="940"/>
      <c r="E18" s="940"/>
      <c r="F18" s="940"/>
      <c r="G18" s="940"/>
      <c r="H18" s="940"/>
      <c r="I18" s="940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22" t="s">
        <v>71</v>
      </c>
      <c r="N24" s="923"/>
      <c r="O24" s="294"/>
      <c r="P24" s="952">
        <v>762</v>
      </c>
      <c r="Q24" s="953"/>
      <c r="R24" s="202"/>
      <c r="S24" s="202"/>
      <c r="V24" s="201"/>
      <c r="W24" s="208"/>
      <c r="X24" s="178"/>
    </row>
    <row r="25" spans="1:24" ht="15.75" customHeight="1" x14ac:dyDescent="0.25">
      <c r="A25" s="20"/>
      <c r="B25" s="922" t="s">
        <v>9</v>
      </c>
      <c r="C25" s="923"/>
      <c r="D25" s="845" t="s">
        <v>45</v>
      </c>
      <c r="E25" s="845" t="s">
        <v>41</v>
      </c>
      <c r="F25" s="845" t="s">
        <v>42</v>
      </c>
      <c r="G25" s="845" t="s">
        <v>43</v>
      </c>
      <c r="H25" s="209"/>
      <c r="I25" s="927" t="s">
        <v>36</v>
      </c>
      <c r="J25" s="928"/>
      <c r="K25" s="144"/>
      <c r="M25" s="210" t="s">
        <v>9</v>
      </c>
      <c r="N25" s="211"/>
      <c r="O25" s="933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46"/>
      <c r="E26" s="846"/>
      <c r="F26" s="846"/>
      <c r="G26" s="846"/>
      <c r="H26" s="209"/>
      <c r="I26" s="930">
        <f>+P24</f>
        <v>762</v>
      </c>
      <c r="J26" s="931"/>
      <c r="K26" s="144"/>
      <c r="M26" s="213" t="s">
        <v>11</v>
      </c>
      <c r="N26" s="187" t="s">
        <v>12</v>
      </c>
      <c r="O26" s="933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63" t="s">
        <v>37</v>
      </c>
      <c r="J28" s="964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65" t="e">
        <f>(R30+R32+R34+R36+R37+R39+R40+R42+R43)/100</f>
        <v>#REF!</v>
      </c>
      <c r="J29" s="966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38"/>
      <c r="J31" s="938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38"/>
      <c r="J32" s="938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60"/>
      <c r="J33" s="960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45">
        <v>44090</v>
      </c>
      <c r="Y54" s="945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62" t="s">
        <v>120</v>
      </c>
      <c r="B58" s="962"/>
      <c r="C58" s="962"/>
      <c r="D58" s="962"/>
      <c r="E58" s="962"/>
      <c r="F58" s="962"/>
      <c r="G58" s="962"/>
      <c r="H58" s="962"/>
      <c r="I58" s="962"/>
      <c r="J58" s="962"/>
      <c r="K58" s="962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62" t="s">
        <v>122</v>
      </c>
      <c r="B60" s="962"/>
      <c r="C60" s="962"/>
      <c r="D60" s="962"/>
      <c r="E60" s="962"/>
      <c r="F60" s="962"/>
      <c r="G60" s="962"/>
      <c r="H60" s="962"/>
      <c r="I60" s="962"/>
      <c r="J60" s="962"/>
      <c r="K60" s="962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  <mergeCell ref="A7:K7"/>
    <mergeCell ref="I32:J32"/>
    <mergeCell ref="I33:J33"/>
    <mergeCell ref="A16:K16"/>
    <mergeCell ref="A8:K8"/>
    <mergeCell ref="A18:I18"/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28515625" defaultRowHeight="15" x14ac:dyDescent="0.25"/>
  <cols>
    <col min="1" max="1" width="12.7109375" style="1" customWidth="1"/>
    <col min="2" max="7" width="8.28515625" style="1" customWidth="1"/>
    <col min="8" max="8" width="4.28515625" style="1" customWidth="1"/>
    <col min="9" max="10" width="7.7109375" style="1" customWidth="1"/>
    <col min="11" max="11" width="13.7109375" style="1" customWidth="1"/>
    <col min="12" max="12" width="15.7109375" style="1" customWidth="1"/>
    <col min="13" max="14" width="7.7109375" style="1" customWidth="1"/>
    <col min="15" max="15" width="11.28515625" style="1" customWidth="1"/>
    <col min="16" max="18" width="7.7109375" style="1" customWidth="1"/>
    <col min="19" max="19" width="8.42578125" style="1" customWidth="1"/>
    <col min="20" max="20" width="5.7109375" style="1" customWidth="1"/>
    <col min="21" max="21" width="10.5703125" style="1" customWidth="1"/>
    <col min="22" max="16384" width="10.285156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34" t="s">
        <v>2</v>
      </c>
      <c r="B5" s="934"/>
      <c r="C5" s="934"/>
      <c r="D5" s="934"/>
      <c r="E5" s="934"/>
      <c r="F5" s="934"/>
      <c r="G5" s="934"/>
      <c r="H5" s="934"/>
      <c r="I5" s="934"/>
      <c r="J5" s="934"/>
      <c r="K5" s="934"/>
    </row>
    <row r="6" spans="1:27" ht="15.75" customHeight="1" x14ac:dyDescent="0.25">
      <c r="A6" s="941">
        <f>+K12</f>
        <v>44</v>
      </c>
      <c r="B6" s="941"/>
      <c r="C6" s="941"/>
      <c r="D6" s="941"/>
      <c r="E6" s="941"/>
      <c r="F6" s="941"/>
      <c r="G6" s="941"/>
      <c r="H6" s="941"/>
      <c r="I6" s="941"/>
      <c r="J6" s="941"/>
      <c r="K6" s="941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45">
        <v>44090</v>
      </c>
      <c r="S9" s="945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42" t="s">
        <v>128</v>
      </c>
      <c r="B14" s="943"/>
      <c r="C14" s="943"/>
      <c r="D14" s="943"/>
      <c r="E14" s="943"/>
      <c r="F14" s="943"/>
      <c r="G14" s="943"/>
      <c r="H14" s="943"/>
      <c r="I14" s="943"/>
      <c r="J14" s="943"/>
      <c r="K14" s="944"/>
      <c r="S14" s="5"/>
      <c r="T14" s="5"/>
      <c r="U14" s="70"/>
    </row>
    <row r="15" spans="1:27" ht="15.75" customHeight="1" x14ac:dyDescent="0.25">
      <c r="A15" s="949" t="s">
        <v>131</v>
      </c>
      <c r="B15" s="950"/>
      <c r="C15" s="950"/>
      <c r="D15" s="950"/>
      <c r="E15" s="950"/>
      <c r="F15" s="950"/>
      <c r="G15" s="950"/>
      <c r="H15" s="950"/>
      <c r="I15" s="950"/>
      <c r="J15" s="950"/>
      <c r="K15" s="951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39" t="s">
        <v>5</v>
      </c>
      <c r="B17" s="940"/>
      <c r="C17" s="940"/>
      <c r="D17" s="940"/>
      <c r="E17" s="940"/>
      <c r="F17" s="940"/>
      <c r="G17" s="940"/>
      <c r="H17" s="940"/>
      <c r="I17" s="940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7" t="s">
        <v>71</v>
      </c>
      <c r="N22" s="968"/>
      <c r="O22" s="280"/>
      <c r="P22" s="969">
        <f>SUM(O25:O42)</f>
        <v>9543.9950657520003</v>
      </c>
      <c r="Q22" s="953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75" t="s">
        <v>9</v>
      </c>
      <c r="C23" s="975"/>
      <c r="D23" s="972" t="s">
        <v>45</v>
      </c>
      <c r="E23" s="972" t="s">
        <v>41</v>
      </c>
      <c r="F23" s="972" t="s">
        <v>42</v>
      </c>
      <c r="G23" s="972" t="s">
        <v>43</v>
      </c>
      <c r="H23" s="18"/>
      <c r="I23" s="927" t="s">
        <v>36</v>
      </c>
      <c r="J23" s="928"/>
      <c r="K23" s="144"/>
      <c r="M23" s="67" t="s">
        <v>9</v>
      </c>
      <c r="N23" s="68"/>
      <c r="O23" s="933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72"/>
      <c r="E24" s="972"/>
      <c r="F24" s="972"/>
      <c r="G24" s="972"/>
      <c r="H24" s="245"/>
      <c r="I24" s="930">
        <f>+P22</f>
        <v>9543.9950657520003</v>
      </c>
      <c r="J24" s="931"/>
      <c r="K24" s="144"/>
      <c r="M24" s="65" t="s">
        <v>11</v>
      </c>
      <c r="N24" s="10" t="s">
        <v>12</v>
      </c>
      <c r="O24" s="933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25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25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63" t="s">
        <v>37</v>
      </c>
      <c r="J26" s="964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25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3">
        <f>(R28+R30+R32+R34+R35+R37+R38+R40+R41)/100</f>
        <v>6.8505867560771163</v>
      </c>
      <c r="J27" s="974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25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25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63" t="s">
        <v>65</v>
      </c>
      <c r="J29" s="964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25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70">
        <f>+Z38</f>
        <v>0.5</v>
      </c>
      <c r="J30" s="971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25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25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38"/>
      <c r="J32" s="938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25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38"/>
      <c r="J33" s="938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25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60"/>
      <c r="J34" s="960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25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25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32" t="s">
        <v>122</v>
      </c>
      <c r="B55" s="932"/>
      <c r="C55" s="932"/>
      <c r="D55" s="932"/>
      <c r="E55" s="932"/>
      <c r="F55" s="932"/>
      <c r="G55" s="932"/>
      <c r="H55" s="932"/>
      <c r="I55" s="932"/>
      <c r="J55" s="932"/>
      <c r="K55" s="932"/>
    </row>
    <row r="56" spans="1:21" x14ac:dyDescent="0.25">
      <c r="H56" s="921" t="s">
        <v>123</v>
      </c>
      <c r="I56" s="921"/>
      <c r="J56" s="921"/>
      <c r="K56" s="921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B23:C23"/>
    <mergeCell ref="D23:D24"/>
    <mergeCell ref="E23:E24"/>
    <mergeCell ref="A5:K5"/>
    <mergeCell ref="A6:K6"/>
    <mergeCell ref="A14:K14"/>
    <mergeCell ref="A15:K15"/>
    <mergeCell ref="I23:J23"/>
    <mergeCell ref="G23:G24"/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28515625" defaultRowHeight="12" x14ac:dyDescent="0.2"/>
  <cols>
    <col min="1" max="1" width="10.28515625" style="5"/>
    <col min="2" max="3" width="8.7109375" style="5" customWidth="1"/>
    <col min="4" max="6" width="5.7109375" style="5" customWidth="1"/>
    <col min="7" max="8" width="8.7109375" style="5" customWidth="1"/>
    <col min="9" max="9" width="12.7109375" style="5" customWidth="1"/>
    <col min="10" max="18" width="4.7109375" style="5" hidden="1" customWidth="1"/>
    <col min="19" max="21" width="4.7109375" style="5" customWidth="1"/>
    <col min="22" max="24" width="4.7109375" style="5" hidden="1" customWidth="1"/>
    <col min="25" max="27" width="4.7109375" style="5" customWidth="1"/>
    <col min="28" max="33" width="4.7109375" style="5" hidden="1" customWidth="1"/>
    <col min="34" max="36" width="4.7109375" style="5" customWidth="1"/>
    <col min="37" max="39" width="4.7109375" style="5" hidden="1" customWidth="1"/>
    <col min="40" max="45" width="4.7109375" style="5" customWidth="1"/>
    <col min="46" max="48" width="4.7109375" style="5" hidden="1" customWidth="1"/>
    <col min="49" max="53" width="4.7109375" style="5" customWidth="1"/>
    <col min="54" max="54" width="10.28515625" style="5" customWidth="1"/>
    <col min="55" max="16384" width="10.285156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97" t="s">
        <v>67</v>
      </c>
      <c r="C5" s="998"/>
      <c r="D5" s="998"/>
      <c r="E5" s="998"/>
      <c r="F5" s="999"/>
      <c r="H5" s="997" t="s">
        <v>67</v>
      </c>
      <c r="I5" s="998"/>
      <c r="J5" s="998"/>
      <c r="K5" s="998"/>
      <c r="L5" s="998"/>
      <c r="M5" s="998"/>
      <c r="N5" s="998"/>
      <c r="O5" s="998"/>
      <c r="P5" s="998"/>
      <c r="Q5" s="998"/>
      <c r="R5" s="998"/>
      <c r="S5" s="998"/>
      <c r="T5" s="998"/>
      <c r="U5" s="998"/>
      <c r="V5" s="998"/>
      <c r="W5" s="998"/>
      <c r="X5" s="998"/>
      <c r="Y5" s="998"/>
      <c r="Z5" s="998"/>
      <c r="AA5" s="998"/>
      <c r="AB5" s="998"/>
      <c r="AC5" s="998"/>
      <c r="AD5" s="998"/>
      <c r="AE5" s="998"/>
      <c r="AF5" s="998"/>
      <c r="AG5" s="998"/>
      <c r="AH5" s="998"/>
      <c r="AI5" s="998"/>
      <c r="AJ5" s="998"/>
      <c r="AK5" s="998"/>
      <c r="AL5" s="998"/>
      <c r="AM5" s="998"/>
      <c r="AN5" s="998"/>
      <c r="AO5" s="998"/>
      <c r="AP5" s="998"/>
      <c r="AQ5" s="998"/>
      <c r="AR5" s="998"/>
      <c r="AS5" s="999"/>
    </row>
    <row r="6" spans="2:55" ht="15.75" customHeight="1" x14ac:dyDescent="0.2">
      <c r="B6" s="997" t="s">
        <v>66</v>
      </c>
      <c r="C6" s="998"/>
      <c r="D6" s="998"/>
      <c r="E6" s="998"/>
      <c r="F6" s="999"/>
      <c r="H6" s="997" t="s">
        <v>68</v>
      </c>
      <c r="I6" s="998"/>
      <c r="J6" s="998"/>
      <c r="K6" s="998"/>
      <c r="L6" s="998"/>
      <c r="M6" s="998"/>
      <c r="N6" s="998"/>
      <c r="O6" s="998"/>
      <c r="P6" s="998"/>
      <c r="Q6" s="998"/>
      <c r="R6" s="998"/>
      <c r="S6" s="998"/>
      <c r="T6" s="998"/>
      <c r="U6" s="998"/>
      <c r="V6" s="998"/>
      <c r="W6" s="998"/>
      <c r="X6" s="998"/>
      <c r="Y6" s="998"/>
      <c r="Z6" s="998"/>
      <c r="AA6" s="998"/>
      <c r="AB6" s="998"/>
      <c r="AC6" s="998"/>
      <c r="AD6" s="998"/>
      <c r="AE6" s="998"/>
      <c r="AF6" s="998"/>
      <c r="AG6" s="998"/>
      <c r="AH6" s="998"/>
      <c r="AI6" s="998"/>
      <c r="AJ6" s="998"/>
      <c r="AK6" s="998"/>
      <c r="AL6" s="998"/>
      <c r="AM6" s="998"/>
      <c r="AN6" s="998"/>
      <c r="AO6" s="998"/>
      <c r="AP6" s="998"/>
      <c r="AQ6" s="998"/>
      <c r="AR6" s="998"/>
      <c r="AS6" s="999"/>
    </row>
    <row r="7" spans="2:55" ht="15.75" customHeight="1" x14ac:dyDescent="0.2">
      <c r="B7" s="977" t="s">
        <v>9</v>
      </c>
      <c r="C7" s="978"/>
      <c r="D7" s="981" t="s">
        <v>46</v>
      </c>
      <c r="E7" s="982"/>
      <c r="F7" s="983"/>
      <c r="H7" s="993" t="s">
        <v>65</v>
      </c>
      <c r="I7" s="994"/>
      <c r="J7" s="30"/>
      <c r="K7" s="30"/>
      <c r="L7" s="30"/>
      <c r="M7" s="30"/>
      <c r="N7" s="30"/>
      <c r="O7" s="30"/>
      <c r="P7" s="30"/>
      <c r="Q7" s="30"/>
      <c r="R7" s="14"/>
      <c r="S7" s="1006">
        <v>2</v>
      </c>
      <c r="T7" s="1007"/>
      <c r="U7" s="1008"/>
      <c r="V7" s="1000"/>
      <c r="W7" s="1001"/>
      <c r="X7" s="1002"/>
      <c r="Y7" s="1006">
        <v>1.5</v>
      </c>
      <c r="Z7" s="1007"/>
      <c r="AA7" s="1008"/>
      <c r="AB7" s="1000"/>
      <c r="AC7" s="1001"/>
      <c r="AD7" s="1002"/>
      <c r="AE7" s="1000"/>
      <c r="AF7" s="1001"/>
      <c r="AG7" s="1002"/>
      <c r="AH7" s="1006">
        <v>1</v>
      </c>
      <c r="AI7" s="1007"/>
      <c r="AJ7" s="1008"/>
      <c r="AK7" s="1000"/>
      <c r="AL7" s="1001"/>
      <c r="AM7" s="1002"/>
      <c r="AN7" s="1006">
        <v>0.75</v>
      </c>
      <c r="AO7" s="1007"/>
      <c r="AP7" s="1008"/>
      <c r="AQ7" s="1006">
        <v>0.5</v>
      </c>
      <c r="AR7" s="1007"/>
      <c r="AS7" s="1008"/>
    </row>
    <row r="8" spans="2:55" ht="15.75" customHeight="1" x14ac:dyDescent="0.2">
      <c r="B8" s="979"/>
      <c r="C8" s="980"/>
      <c r="D8" s="984"/>
      <c r="E8" s="985"/>
      <c r="F8" s="986"/>
      <c r="H8" s="995" t="s">
        <v>64</v>
      </c>
      <c r="I8" s="996"/>
      <c r="J8" s="990">
        <v>1</v>
      </c>
      <c r="K8" s="991"/>
      <c r="L8" s="992"/>
      <c r="M8" s="990">
        <v>2</v>
      </c>
      <c r="N8" s="991"/>
      <c r="O8" s="992"/>
      <c r="P8" s="990">
        <v>3</v>
      </c>
      <c r="Q8" s="991"/>
      <c r="R8" s="992"/>
      <c r="S8" s="990">
        <v>357</v>
      </c>
      <c r="T8" s="991"/>
      <c r="U8" s="992"/>
      <c r="V8" s="990">
        <v>4</v>
      </c>
      <c r="W8" s="991"/>
      <c r="X8" s="992"/>
      <c r="Y8" s="990">
        <v>467</v>
      </c>
      <c r="Z8" s="991"/>
      <c r="AA8" s="992"/>
      <c r="AB8" s="990">
        <v>5</v>
      </c>
      <c r="AC8" s="991"/>
      <c r="AD8" s="992"/>
      <c r="AE8" s="990">
        <v>56</v>
      </c>
      <c r="AF8" s="991"/>
      <c r="AG8" s="992"/>
      <c r="AH8" s="990">
        <v>57</v>
      </c>
      <c r="AI8" s="991"/>
      <c r="AJ8" s="992"/>
      <c r="AK8" s="990">
        <v>6</v>
      </c>
      <c r="AL8" s="991"/>
      <c r="AM8" s="992"/>
      <c r="AN8" s="990">
        <v>67</v>
      </c>
      <c r="AO8" s="991"/>
      <c r="AP8" s="992"/>
      <c r="AQ8" s="990">
        <v>7</v>
      </c>
      <c r="AR8" s="991"/>
      <c r="AS8" s="992"/>
      <c r="AT8" s="990">
        <v>8</v>
      </c>
      <c r="AU8" s="991"/>
      <c r="AV8" s="992"/>
    </row>
    <row r="9" spans="2:55" ht="15.75" customHeight="1" x14ac:dyDescent="0.2">
      <c r="B9" s="31" t="s">
        <v>11</v>
      </c>
      <c r="C9" s="31" t="s">
        <v>12</v>
      </c>
      <c r="D9" s="987"/>
      <c r="E9" s="988"/>
      <c r="F9" s="989"/>
      <c r="H9" s="32" t="s">
        <v>11</v>
      </c>
      <c r="I9" s="32" t="s">
        <v>12</v>
      </c>
      <c r="J9" s="990" t="s">
        <v>51</v>
      </c>
      <c r="K9" s="991"/>
      <c r="L9" s="992"/>
      <c r="M9" s="990" t="s">
        <v>52</v>
      </c>
      <c r="N9" s="991"/>
      <c r="O9" s="992"/>
      <c r="P9" s="990" t="s">
        <v>53</v>
      </c>
      <c r="Q9" s="991"/>
      <c r="R9" s="992"/>
      <c r="S9" s="990" t="s">
        <v>54</v>
      </c>
      <c r="T9" s="991"/>
      <c r="U9" s="992"/>
      <c r="V9" s="990" t="s">
        <v>55</v>
      </c>
      <c r="W9" s="991"/>
      <c r="X9" s="992"/>
      <c r="Y9" s="990" t="s">
        <v>56</v>
      </c>
      <c r="Z9" s="991"/>
      <c r="AA9" s="992"/>
      <c r="AB9" s="990" t="s">
        <v>57</v>
      </c>
      <c r="AC9" s="991"/>
      <c r="AD9" s="992"/>
      <c r="AE9" s="990" t="s">
        <v>58</v>
      </c>
      <c r="AF9" s="991"/>
      <c r="AG9" s="992"/>
      <c r="AH9" s="990" t="s">
        <v>59</v>
      </c>
      <c r="AI9" s="991"/>
      <c r="AJ9" s="992"/>
      <c r="AK9" s="990" t="s">
        <v>60</v>
      </c>
      <c r="AL9" s="991"/>
      <c r="AM9" s="992"/>
      <c r="AN9" s="990" t="s">
        <v>61</v>
      </c>
      <c r="AO9" s="991"/>
      <c r="AP9" s="992"/>
      <c r="AQ9" s="990" t="s">
        <v>62</v>
      </c>
      <c r="AR9" s="991"/>
      <c r="AS9" s="992"/>
      <c r="AT9" s="990" t="s">
        <v>63</v>
      </c>
      <c r="AU9" s="991"/>
      <c r="AV9" s="992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81" t="s">
        <v>46</v>
      </c>
      <c r="K25" s="982"/>
      <c r="L25" s="983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4"/>
      <c r="K26" s="985"/>
      <c r="L26" s="986"/>
      <c r="Q26" s="25"/>
      <c r="R26" s="25"/>
      <c r="S26" s="1003" t="s">
        <v>43</v>
      </c>
      <c r="T26" s="1004"/>
      <c r="U26" s="1005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7"/>
      <c r="K27" s="988"/>
      <c r="L27" s="989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76"/>
      <c r="D33" s="976"/>
      <c r="E33" s="976"/>
      <c r="F33" s="976"/>
      <c r="G33" s="976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AB9:AD9"/>
    <mergeCell ref="M8:O8"/>
    <mergeCell ref="M9:O9"/>
    <mergeCell ref="P8:R8"/>
    <mergeCell ref="P9:R9"/>
    <mergeCell ref="S8:U8"/>
    <mergeCell ref="S9:U9"/>
    <mergeCell ref="C33:G33"/>
    <mergeCell ref="B7:C8"/>
    <mergeCell ref="D7:F9"/>
    <mergeCell ref="J9:L9"/>
    <mergeCell ref="J8:L8"/>
    <mergeCell ref="H7:I7"/>
    <mergeCell ref="H8:I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Jazmin Grandez</cp:lastModifiedBy>
  <cp:lastPrinted>2026-06-13T16:41:23Z</cp:lastPrinted>
  <dcterms:created xsi:type="dcterms:W3CDTF">1999-11-07T15:11:55Z</dcterms:created>
  <dcterms:modified xsi:type="dcterms:W3CDTF">2026-06-24T15:04:17Z</dcterms:modified>
</cp:coreProperties>
</file>