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"/>
    </mc:Choice>
  </mc:AlternateContent>
  <xr:revisionPtr revIDLastSave="0" documentId="13_ncr:1_{098E89EC-F48F-4765-9E3D-DDBF44B33579}" xr6:coauthVersionLast="47" xr6:coauthVersionMax="47" xr10:uidLastSave="{00000000-0000-0000-0000-000000000000}"/>
  <bookViews>
    <workbookView xWindow="-120" yWindow="-120" windowWidth="29040" windowHeight="15720" tabRatio="629" activeTab="2" xr2:uid="{00000000-000D-0000-FFFF-FFFF00000000}"/>
  </bookViews>
  <sheets>
    <sheet name="FORMATO" sheetId="97" r:id="rId1"/>
    <sheet name="INFORME" sheetId="91" r:id="rId2"/>
    <sheet name="DATOS" sheetId="95" r:id="rId3"/>
    <sheet name="Incertidumbre" sheetId="92" r:id="rId4"/>
    <sheet name="Molde" sheetId="94" state="hidden" r:id="rId5"/>
    <sheet name="Balanza" sheetId="93" r:id="rId6"/>
    <sheet name="Precision" sheetId="96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5">#REF!</definedName>
    <definedName name="_L1" localSheetId="3">#REF!</definedName>
    <definedName name="_L1">#REF!</definedName>
    <definedName name="_Ll1">[2]Sucs!$L$3</definedName>
    <definedName name="_W1" localSheetId="5">#REF!</definedName>
    <definedName name="_W1" localSheetId="3">#REF!</definedName>
    <definedName name="_W1">#REF!</definedName>
    <definedName name="Abra">[3]Sucs!$C$3</definedName>
    <definedName name="_xlnm.Print_Area" localSheetId="2">DATOS!#REF!</definedName>
    <definedName name="_xlnm.Print_Area" localSheetId="0">FORMATO!$A$1:$M$51</definedName>
    <definedName name="_xlnm.Print_Area" localSheetId="1">INFORME!$A$1:$J$59</definedName>
    <definedName name="CC" localSheetId="5">#REF!</definedName>
    <definedName name="CC" localSheetId="3">#REF!</definedName>
    <definedName name="CC">[4]Sucs!$L$6</definedName>
    <definedName name="CCf">'[2]Sucs(Fino)'!$L$6</definedName>
    <definedName name="CCVB">[5]Sucs!$L$3</definedName>
    <definedName name="CM">[6]BGA!$H$9</definedName>
    <definedName name="CU" localSheetId="5">#REF!</definedName>
    <definedName name="CU" localSheetId="3">#REF!</definedName>
    <definedName name="CU">[4]Sucs!$L$5</definedName>
    <definedName name="CUf">'[2]Sucs(Fino)'!$L$5</definedName>
    <definedName name="hh" localSheetId="5">#REF!</definedName>
    <definedName name="hh" localSheetId="3">#REF!</definedName>
    <definedName name="hh">#REF!</definedName>
    <definedName name="IP" localSheetId="5">#REF!</definedName>
    <definedName name="IP" localSheetId="3">#REF!</definedName>
    <definedName name="IP">[4]Sucs!$L$4</definedName>
    <definedName name="IPf">'[2]Sucs(Fino)'!$L$4</definedName>
    <definedName name="L" localSheetId="5">#REF!</definedName>
    <definedName name="L" localSheetId="3">#REF!</definedName>
    <definedName name="L">#REF!</definedName>
    <definedName name="LIf">'[2]Sucs(Fino)'!$L$3</definedName>
    <definedName name="Ll" localSheetId="5">#REF!</definedName>
    <definedName name="Ll" localSheetId="3">#REF!</definedName>
    <definedName name="Ll">[4]Sucs!$L$3</definedName>
    <definedName name="MORA">[6]BGA!$H$13</definedName>
    <definedName name="N_10" localSheetId="5">#REF!</definedName>
    <definedName name="N_10" localSheetId="3">#REF!</definedName>
    <definedName name="N_10">[4]Sucs!$C$5</definedName>
    <definedName name="N_101">[2]Sucs!$C$5</definedName>
    <definedName name="N_10f">'[2]Sucs(Fino)'!$C$5</definedName>
    <definedName name="N_200" localSheetId="5">#REF!</definedName>
    <definedName name="N_200" localSheetId="3">#REF!</definedName>
    <definedName name="N_200">[4]Sucs!$C$3</definedName>
    <definedName name="N_2001">[2]Sucs!$C$3</definedName>
    <definedName name="N_200f">'[2]Sucs(Fino)'!$C$3</definedName>
    <definedName name="N_40" localSheetId="5">#REF!</definedName>
    <definedName name="N_40" localSheetId="3">#REF!</definedName>
    <definedName name="N_40">[4]Sucs!$C$4</definedName>
    <definedName name="N_401">[2]Sucs!$C$4</definedName>
    <definedName name="N_40f">'[2]Sucs(Fino)'!$C$4</definedName>
    <definedName name="PC">[5]Sucs!$C$5</definedName>
    <definedName name="TABLA" localSheetId="5">#REF!</definedName>
    <definedName name="TABLA" localSheetId="3">#REF!</definedName>
    <definedName name="TABLA">#REF!</definedName>
    <definedName name="tipodegranulometria" localSheetId="5">'[7]G-LL '!$X$2:$X$3</definedName>
    <definedName name="tipodegranulometria" localSheetId="3">'[7]G-LL '!$X$2:$X$3</definedName>
    <definedName name="tipodegranulometria">'[7]G-LL '!$X$2:$X$3</definedName>
    <definedName name="tipodemateria" localSheetId="5">'[7]G-LL '!$X$5:$X$6</definedName>
    <definedName name="tipodemateria" localSheetId="3">'[7]G-LL '!$X$5:$X$6</definedName>
    <definedName name="tipodemateria">'[7]G-LL '!$X$5:$X$6</definedName>
    <definedName name="_xlnm.Print_Titles" localSheetId="2">DATOS!$1:$9</definedName>
    <definedName name="_xlnm.Print_Titles" localSheetId="1">INFORME!$1:$9</definedName>
    <definedName name="W" localSheetId="5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96" l="1"/>
  <c r="B21" i="96"/>
  <c r="J8" i="91"/>
  <c r="J7" i="91"/>
  <c r="J16" i="91" l="1"/>
  <c r="J15" i="91"/>
  <c r="J14" i="91"/>
  <c r="J6" i="91"/>
  <c r="E15" i="91"/>
  <c r="E16" i="91"/>
  <c r="E14" i="91"/>
  <c r="C6" i="91"/>
  <c r="C7" i="91"/>
  <c r="C8" i="91"/>
  <c r="C5" i="91"/>
  <c r="E47" i="95"/>
  <c r="L6" i="95"/>
  <c r="F30" i="95" l="1"/>
  <c r="I24" i="95"/>
  <c r="G24" i="95"/>
  <c r="E24" i="95"/>
  <c r="F19" i="95"/>
  <c r="F20" i="95"/>
  <c r="F18" i="95"/>
  <c r="L16" i="91"/>
  <c r="E14" i="95" l="1"/>
  <c r="E13" i="95"/>
  <c r="E12" i="95"/>
  <c r="E9" i="95"/>
  <c r="E8" i="95"/>
  <c r="E7" i="95"/>
  <c r="H24" i="95" s="1"/>
  <c r="F24" i="91"/>
  <c r="M72" i="92"/>
  <c r="J24" i="95" l="1"/>
  <c r="F24" i="95"/>
  <c r="G19" i="95"/>
  <c r="S72" i="92"/>
  <c r="Q72" i="92"/>
  <c r="O72" i="92"/>
  <c r="F25" i="95" l="1"/>
  <c r="C53" i="91"/>
  <c r="F44" i="91" l="1"/>
  <c r="F43" i="91"/>
  <c r="B44" i="95" l="1"/>
  <c r="A23" i="96" l="1"/>
  <c r="B23" i="96" s="1"/>
  <c r="K67" i="92"/>
  <c r="C71" i="92" l="1"/>
  <c r="B68" i="92"/>
  <c r="C70" i="92" s="1"/>
  <c r="C75" i="92"/>
  <c r="B72" i="92"/>
  <c r="C74" i="92" s="1"/>
  <c r="K68" i="92"/>
  <c r="P22" i="93"/>
  <c r="Q22" i="93"/>
  <c r="R22" i="93"/>
  <c r="S22" i="93"/>
  <c r="T22" i="93"/>
  <c r="U22" i="93"/>
  <c r="V22" i="93"/>
  <c r="W22" i="93"/>
  <c r="O22" i="93"/>
  <c r="B67" i="92" l="1"/>
  <c r="J7" i="93"/>
  <c r="K8" i="93" s="1"/>
  <c r="F60" i="92"/>
  <c r="T60" i="92" s="1"/>
  <c r="D26" i="93"/>
  <c r="O26" i="93" s="1"/>
  <c r="I5" i="95"/>
  <c r="B60" i="92"/>
  <c r="P60" i="92" l="1"/>
  <c r="U59" i="92" s="1"/>
  <c r="G59" i="92"/>
  <c r="J9" i="93"/>
  <c r="J8" i="93"/>
  <c r="M60" i="92"/>
  <c r="G68" i="92"/>
  <c r="G72" i="92"/>
  <c r="I60" i="92"/>
  <c r="N59" i="92" s="1"/>
  <c r="J50" i="92" l="1"/>
  <c r="Q50" i="92"/>
  <c r="Q46" i="92"/>
  <c r="J46" i="92"/>
  <c r="C50" i="92"/>
  <c r="C46" i="92"/>
  <c r="M18" i="93"/>
  <c r="B18" i="93"/>
  <c r="F75" i="92"/>
  <c r="F71" i="92"/>
  <c r="E37" i="94"/>
  <c r="D37" i="94"/>
  <c r="C37" i="94"/>
  <c r="K31" i="94"/>
  <c r="F37" i="94" l="1"/>
  <c r="D23" i="94" s="1"/>
  <c r="T23" i="93"/>
  <c r="Q23" i="93"/>
  <c r="R23" i="93"/>
  <c r="T70" i="92" s="1"/>
  <c r="U23" i="93"/>
  <c r="T69" i="92" s="1"/>
  <c r="W23" i="93"/>
  <c r="P23" i="93"/>
  <c r="V23" i="93"/>
  <c r="O23" i="93"/>
  <c r="D23" i="93"/>
  <c r="I23" i="93"/>
  <c r="F70" i="92"/>
  <c r="F74" i="92"/>
  <c r="R69" i="92" l="1"/>
  <c r="S23" i="93"/>
  <c r="P26" i="93" s="1"/>
  <c r="E25" i="95" l="1"/>
  <c r="E26" i="95" s="1"/>
  <c r="B43" i="92" l="1"/>
  <c r="C45" i="92" s="1"/>
  <c r="F46" i="92"/>
  <c r="M46" i="92" l="1"/>
  <c r="B52" i="92" l="1"/>
  <c r="I13" i="96"/>
  <c r="B13" i="96"/>
  <c r="B12" i="96"/>
  <c r="B11" i="96"/>
  <c r="B10" i="96"/>
  <c r="B9" i="96"/>
  <c r="I11" i="96"/>
  <c r="I10" i="96"/>
  <c r="I9" i="96"/>
  <c r="I12" i="96"/>
  <c r="H26" i="93"/>
  <c r="F26" i="93"/>
  <c r="D27" i="93"/>
  <c r="F37" i="91"/>
  <c r="F36" i="91"/>
  <c r="J31" i="95"/>
  <c r="H37" i="91" s="1"/>
  <c r="H31" i="95"/>
  <c r="G37" i="91" s="1"/>
  <c r="J30" i="95"/>
  <c r="H36" i="91" s="1"/>
  <c r="H30" i="95"/>
  <c r="G36" i="91" s="1"/>
  <c r="B14" i="96" l="1"/>
  <c r="B15" i="96" s="1"/>
  <c r="B18" i="96" s="1"/>
  <c r="I14" i="96"/>
  <c r="I15" i="96" s="1"/>
  <c r="O27" i="93"/>
  <c r="P27" i="93" s="1"/>
  <c r="Q26" i="93"/>
  <c r="R26" i="93" s="1"/>
  <c r="S26" i="93"/>
  <c r="T26" i="93" s="1"/>
  <c r="B47" i="92"/>
  <c r="H27" i="93"/>
  <c r="F27" i="93"/>
  <c r="G20" i="91"/>
  <c r="B17" i="96" l="1"/>
  <c r="I17" i="96"/>
  <c r="I16" i="96"/>
  <c r="B16" i="96"/>
  <c r="C49" i="92"/>
  <c r="I18" i="96"/>
  <c r="S27" i="93"/>
  <c r="T27" i="93" s="1"/>
  <c r="Q27" i="93"/>
  <c r="R27" i="93" s="1"/>
  <c r="G25" i="95"/>
  <c r="I25" i="95"/>
  <c r="H28" i="91"/>
  <c r="G28" i="91"/>
  <c r="F28" i="91"/>
  <c r="G20" i="95"/>
  <c r="G21" i="91"/>
  <c r="I52" i="92" l="1"/>
  <c r="M52" i="92" s="1"/>
  <c r="O52" i="92" s="1"/>
  <c r="P52" i="92"/>
  <c r="T52" i="92" s="1"/>
  <c r="V52" i="92" s="1"/>
  <c r="F52" i="92"/>
  <c r="H52" i="92" s="1"/>
  <c r="G22" i="91"/>
  <c r="D28" i="93"/>
  <c r="J25" i="95"/>
  <c r="J29" i="95" s="1"/>
  <c r="H25" i="95"/>
  <c r="H29" i="95" s="1"/>
  <c r="G26" i="95"/>
  <c r="I26" i="95"/>
  <c r="F29" i="95"/>
  <c r="B51" i="92" l="1"/>
  <c r="G51" i="92" s="1"/>
  <c r="O28" i="93"/>
  <c r="G35" i="91"/>
  <c r="H32" i="95"/>
  <c r="G38" i="91" s="1"/>
  <c r="F35" i="91"/>
  <c r="F32" i="95"/>
  <c r="F38" i="91" s="1"/>
  <c r="H35" i="91"/>
  <c r="J32" i="95"/>
  <c r="H38" i="91" s="1"/>
  <c r="F26" i="95"/>
  <c r="F29" i="91"/>
  <c r="H26" i="95"/>
  <c r="G30" i="91" s="1"/>
  <c r="G29" i="91"/>
  <c r="J26" i="95"/>
  <c r="H30" i="91" s="1"/>
  <c r="H29" i="91"/>
  <c r="G66" i="94"/>
  <c r="G64" i="94"/>
  <c r="F64" i="94"/>
  <c r="F62" i="94"/>
  <c r="F60" i="94"/>
  <c r="W52" i="94"/>
  <c r="W50" i="94"/>
  <c r="V50" i="94"/>
  <c r="V48" i="94"/>
  <c r="V46" i="94"/>
  <c r="O52" i="94"/>
  <c r="O50" i="94"/>
  <c r="N50" i="94"/>
  <c r="N48" i="94"/>
  <c r="N46" i="94"/>
  <c r="G52" i="94"/>
  <c r="G50" i="94"/>
  <c r="F50" i="94"/>
  <c r="F48" i="94"/>
  <c r="F46" i="94"/>
  <c r="H40" i="91" l="1"/>
  <c r="J40" i="95"/>
  <c r="F30" i="91"/>
  <c r="H32" i="91" s="1"/>
  <c r="J41" i="95"/>
  <c r="J42" i="95"/>
  <c r="G47" i="92"/>
  <c r="B42" i="92"/>
  <c r="B59" i="92" s="1"/>
  <c r="G43" i="92"/>
  <c r="P43" i="92"/>
  <c r="Q45" i="92" s="1"/>
  <c r="I43" i="92"/>
  <c r="J45" i="92" s="1"/>
  <c r="F45" i="92"/>
  <c r="T50" i="92"/>
  <c r="T46" i="92"/>
  <c r="K27" i="94"/>
  <c r="F32" i="94"/>
  <c r="F30" i="94"/>
  <c r="F28" i="94"/>
  <c r="D42" i="95" l="1"/>
  <c r="E42" i="95" s="1"/>
  <c r="H42" i="95" s="1"/>
  <c r="D41" i="95"/>
  <c r="E41" i="95" s="1"/>
  <c r="H41" i="95" s="1"/>
  <c r="G60" i="92"/>
  <c r="H60" i="92" s="1"/>
  <c r="B58" i="92"/>
  <c r="T45" i="92"/>
  <c r="M45" i="92"/>
  <c r="F50" i="92"/>
  <c r="M50" i="92"/>
  <c r="D44" i="95" l="1"/>
  <c r="G32" i="94"/>
  <c r="G34" i="94"/>
  <c r="K29" i="94"/>
  <c r="E23" i="93"/>
  <c r="F23" i="93"/>
  <c r="G23" i="93"/>
  <c r="H23" i="93"/>
  <c r="N69" i="92" l="1"/>
  <c r="C69" i="92" s="1"/>
  <c r="E26" i="93"/>
  <c r="C44" i="92" s="1"/>
  <c r="I26" i="93"/>
  <c r="G26" i="93"/>
  <c r="R70" i="92"/>
  <c r="P69" i="92"/>
  <c r="P70" i="92"/>
  <c r="N70" i="92"/>
  <c r="C73" i="92" s="1"/>
  <c r="E27" i="93"/>
  <c r="C48" i="92" s="1"/>
  <c r="G27" i="93"/>
  <c r="J48" i="92" s="1"/>
  <c r="I27" i="93"/>
  <c r="Q48" i="92" s="1"/>
  <c r="F69" i="92" l="1"/>
  <c r="F68" i="92" s="1"/>
  <c r="H68" i="92" s="1"/>
  <c r="F73" i="92"/>
  <c r="F72" i="92" s="1"/>
  <c r="H72" i="92" s="1"/>
  <c r="Q44" i="92"/>
  <c r="T44" i="92" s="1"/>
  <c r="T43" i="92" s="1"/>
  <c r="J44" i="92"/>
  <c r="M44" i="92" s="1"/>
  <c r="M43" i="92" s="1"/>
  <c r="F44" i="92"/>
  <c r="F43" i="92" s="1"/>
  <c r="T48" i="92"/>
  <c r="H76" i="92" l="1"/>
  <c r="F51" i="92" s="1"/>
  <c r="P47" i="92"/>
  <c r="Q49" i="92" s="1"/>
  <c r="I47" i="92"/>
  <c r="J49" i="92" s="1"/>
  <c r="M48" i="92"/>
  <c r="F48" i="92"/>
  <c r="H77" i="92" l="1"/>
  <c r="T51" i="92"/>
  <c r="M51" i="92"/>
  <c r="H51" i="92"/>
  <c r="T49" i="92"/>
  <c r="T47" i="92" s="1"/>
  <c r="F49" i="92"/>
  <c r="F47" i="92" s="1"/>
  <c r="M49" i="92"/>
  <c r="M47" i="92" s="1"/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  <c r="K33" i="94" l="1"/>
  <c r="P51" i="92" l="1"/>
  <c r="P42" i="92" s="1"/>
  <c r="P59" i="92" s="1"/>
  <c r="U60" i="92" s="1"/>
  <c r="I51" i="92"/>
  <c r="I42" i="92" s="1"/>
  <c r="I59" i="92" s="1"/>
  <c r="N60" i="92" s="1"/>
  <c r="H47" i="92"/>
  <c r="H43" i="92"/>
  <c r="H53" i="92" l="1"/>
  <c r="V60" i="92"/>
  <c r="P58" i="92"/>
  <c r="I58" i="92"/>
  <c r="O60" i="92"/>
  <c r="N47" i="92"/>
  <c r="O47" i="92" s="1"/>
  <c r="N43" i="92"/>
  <c r="O43" i="92" s="1"/>
  <c r="N51" i="92"/>
  <c r="U47" i="92"/>
  <c r="V47" i="92" s="1"/>
  <c r="U43" i="92"/>
  <c r="V43" i="92" s="1"/>
  <c r="U51" i="92"/>
  <c r="F59" i="92" l="1"/>
  <c r="H59" i="92" s="1"/>
  <c r="H61" i="92" s="1"/>
  <c r="O51" i="92"/>
  <c r="O53" i="92" s="1"/>
  <c r="V51" i="92"/>
  <c r="V53" i="92" l="1"/>
  <c r="H54" i="92" s="1"/>
  <c r="M59" i="92"/>
  <c r="O59" i="92" s="1"/>
  <c r="O61" i="92" s="1"/>
  <c r="T59" i="92" l="1"/>
  <c r="V59" i="92" s="1"/>
  <c r="V61" i="92" s="1"/>
  <c r="H62" i="92" s="1"/>
</calcChain>
</file>

<file path=xl/sharedStrings.xml><?xml version="1.0" encoding="utf-8"?>
<sst xmlns="http://schemas.openxmlformats.org/spreadsheetml/2006/main" count="645" uniqueCount="309">
  <si>
    <t>LABORATORIO DE ENSAYO DE MATERIALES</t>
  </si>
  <si>
    <t>CLIENTE</t>
  </si>
  <si>
    <t>:</t>
  </si>
  <si>
    <t xml:space="preserve">                 CÓDIGO</t>
  </si>
  <si>
    <t>F-LEM-P-AG-22.02</t>
  </si>
  <si>
    <t>DIRECCIÓN **</t>
  </si>
  <si>
    <t>PROYECTO **</t>
  </si>
  <si>
    <t>FECHA DE EMISIÓN</t>
  </si>
  <si>
    <t>UBICACIÓN **</t>
  </si>
  <si>
    <t>** Datos proporcionados por el cliente</t>
  </si>
  <si>
    <t>Standard Test Method for Bulk Density ("Unit Weight") and Voids in Aggregate</t>
  </si>
  <si>
    <t>DATOS DE LA MUESTRA</t>
  </si>
  <si>
    <t>CANTERA / SONDAJE **</t>
  </si>
  <si>
    <t>CÓDIGO DE LA MUESTRA</t>
  </si>
  <si>
    <t>N° MUESTRA **</t>
  </si>
  <si>
    <t>FECHA DE RECEPCIÓN</t>
  </si>
  <si>
    <t>-</t>
  </si>
  <si>
    <t>FECHA DE EJECUCIÓN</t>
  </si>
  <si>
    <t>LUGAR DE ENSAYO</t>
  </si>
  <si>
    <t>Laboratorio de ensayo de materiales</t>
  </si>
  <si>
    <t>Datos del molde</t>
  </si>
  <si>
    <t>Molde</t>
  </si>
  <si>
    <t>N°</t>
  </si>
  <si>
    <t>Masa de medida</t>
  </si>
  <si>
    <t>kg</t>
  </si>
  <si>
    <t>Volumen de la medida</t>
  </si>
  <si>
    <r>
      <t>m</t>
    </r>
    <r>
      <rPr>
        <sz val="11"/>
        <rFont val="Arial"/>
        <family val="2"/>
      </rPr>
      <t>³</t>
    </r>
  </si>
  <si>
    <t>MÉTODO DE ENSAYO:</t>
  </si>
  <si>
    <t>DENSIDAD APARENTE</t>
  </si>
  <si>
    <t>Prueba N°</t>
  </si>
  <si>
    <t>Und.</t>
  </si>
  <si>
    <t>Masa del agregado mas medida</t>
  </si>
  <si>
    <t>Masa del agregado</t>
  </si>
  <si>
    <t>Densidad aparente del agregado</t>
  </si>
  <si>
    <r>
      <t>kg/m</t>
    </r>
    <r>
      <rPr>
        <sz val="11"/>
        <rFont val="Arial"/>
        <family val="2"/>
      </rPr>
      <t>³</t>
    </r>
  </si>
  <si>
    <t>Promedio:  Densidad aparente del agregado</t>
  </si>
  <si>
    <t>CONTENIDO DE VACIOS</t>
  </si>
  <si>
    <t>Gravedad especifica base seca</t>
  </si>
  <si>
    <t>Densidad del agua</t>
  </si>
  <si>
    <t>% de Vacios</t>
  </si>
  <si>
    <t>%</t>
  </si>
  <si>
    <t>Promedio:   % Vacios</t>
  </si>
  <si>
    <t>Nota:</t>
  </si>
  <si>
    <t>Observaciones:</t>
  </si>
  <si>
    <t>Fin del Informe</t>
  </si>
  <si>
    <t>Informacion para la Correccion por Certificado de Calibración:</t>
  </si>
  <si>
    <t>Capacidad maxima 30kg</t>
  </si>
  <si>
    <t>Precisión de la Balanza al 0.001 kg</t>
  </si>
  <si>
    <t>Corrección</t>
  </si>
  <si>
    <t xml:space="preserve">CODIGO </t>
  </si>
  <si>
    <t>EQP-0054</t>
  </si>
  <si>
    <t>Fecha</t>
  </si>
  <si>
    <t>Capacidad maxima 150kg</t>
  </si>
  <si>
    <t>Precisión de la Balanza al 0.01kg</t>
  </si>
  <si>
    <t>EQP-0059</t>
  </si>
  <si>
    <t>MOLDE</t>
  </si>
  <si>
    <t>BALANZA</t>
  </si>
  <si>
    <t>Descripcion</t>
  </si>
  <si>
    <t>Datos</t>
  </si>
  <si>
    <t>correccion</t>
  </si>
  <si>
    <t>und</t>
  </si>
  <si>
    <t>30 kg</t>
  </si>
  <si>
    <t xml:space="preserve">Molde </t>
  </si>
  <si>
    <t>Masa de la medida</t>
  </si>
  <si>
    <t>150 kg</t>
  </si>
  <si>
    <t>m³</t>
  </si>
  <si>
    <t>DATOS</t>
  </si>
  <si>
    <t>CORRECCION</t>
  </si>
  <si>
    <r>
      <t>kg/m</t>
    </r>
    <r>
      <rPr>
        <vertAlign val="superscript"/>
        <sz val="9"/>
        <rFont val="Arial"/>
        <family val="2"/>
      </rPr>
      <t>3</t>
    </r>
  </si>
  <si>
    <t>Gravedad especifica base seca(OD) - REALIZAR ENSAYO C127 O C128</t>
  </si>
  <si>
    <t>Incertidumbre G.E.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</si>
  <si>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</si>
  <si>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</si>
  <si>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</si>
  <si>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</si>
  <si>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</si>
  <si>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</si>
  <si>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</si>
  <si>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</si>
  <si>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</si>
  <si>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</si>
  <si>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</t>
  </si>
  <si>
    <t>Mensurando</t>
  </si>
  <si>
    <t>Peso unitario al aire de las particulas de agregado incluido los vacios</t>
  </si>
  <si>
    <t>Paso 1. Definicion del proceso de medición</t>
  </si>
  <si>
    <t>Variables:</t>
  </si>
  <si>
    <r>
      <t>M = densidad aparente del agregado, kg m</t>
    </r>
    <r>
      <rPr>
        <vertAlign val="superscript"/>
        <sz val="11"/>
        <color rgb="FF231F20"/>
        <rFont val="Arial"/>
        <family val="2"/>
      </rPr>
      <t>3</t>
    </r>
    <r>
      <rPr>
        <sz val="11"/>
        <color rgb="FF231F20"/>
        <rFont val="Arial"/>
        <family val="2"/>
      </rPr>
      <t xml:space="preserve"> </t>
    </r>
  </si>
  <si>
    <t xml:space="preserve">G = masa del agregado más la medida, kg </t>
  </si>
  <si>
    <t xml:space="preserve">T = masa de la medida, kg </t>
  </si>
  <si>
    <r>
      <t>V = volumen de la medida, m</t>
    </r>
    <r>
      <rPr>
        <vertAlign val="superscript"/>
        <sz val="11"/>
        <color rgb="FF231F20"/>
        <rFont val="Arial"/>
        <family val="2"/>
      </rPr>
      <t>3</t>
    </r>
    <r>
      <rPr>
        <sz val="11"/>
        <color rgb="FF231F20"/>
        <rFont val="Arial"/>
        <family val="2"/>
      </rPr>
      <t xml:space="preserve"> </t>
    </r>
  </si>
  <si>
    <r>
      <t>M = densidad aparente del agregado, kg/m</t>
    </r>
    <r>
      <rPr>
        <vertAlign val="superscript"/>
        <sz val="11"/>
        <color rgb="FF231F20"/>
        <rFont val="Arial"/>
        <family val="2"/>
      </rPr>
      <t>3</t>
    </r>
    <r>
      <rPr>
        <sz val="11"/>
        <color rgb="FF231F20"/>
        <rFont val="Arial"/>
        <family val="2"/>
      </rPr>
      <t/>
    </r>
  </si>
  <si>
    <t xml:space="preserve">S = gravedad específica a granel (base seca) </t>
  </si>
  <si>
    <r>
      <t>W = densidad del agua, 998 kg/m</t>
    </r>
    <r>
      <rPr>
        <vertAlign val="superscript"/>
        <sz val="11"/>
        <color rgb="FF231F20"/>
        <rFont val="Arial"/>
        <family val="2"/>
      </rPr>
      <t>3</t>
    </r>
    <r>
      <rPr>
        <sz val="11"/>
        <color rgb="FF231F20"/>
        <rFont val="Arial"/>
        <family val="2"/>
      </rPr>
      <t xml:space="preserve"> </t>
    </r>
  </si>
  <si>
    <t>Fórmula:</t>
  </si>
  <si>
    <t>Equipos a utilizar:</t>
  </si>
  <si>
    <t>Balanza con resulución de lectura de 0.001kg o 0.01kg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</si>
  <si>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</si>
  <si>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</si>
  <si>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</si>
  <si>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</si>
  <si>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</si>
  <si>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</si>
  <si>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9"/>
        <rFont val="Arial"/>
        <family val="2"/>
      </rPr>
      <t>u(x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</si>
  <si>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</si>
  <si>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9"/>
        <rFont val="Arial"/>
        <family val="2"/>
      </rPr>
      <t>u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(y)</t>
    </r>
  </si>
  <si>
    <t>Peso Unitario (kg/m3)</t>
  </si>
  <si>
    <t>Masa del agregado mas la medida (Kg)</t>
  </si>
  <si>
    <t>G</t>
  </si>
  <si>
    <t>Repetibilidad de la pesada</t>
  </si>
  <si>
    <t xml:space="preserve">kg </t>
  </si>
  <si>
    <t>Normal, K=1</t>
  </si>
  <si>
    <t>---</t>
  </si>
  <si>
    <t>g</t>
  </si>
  <si>
    <t>Certificado de Calibración</t>
  </si>
  <si>
    <t>Normal, K=2 (/2)</t>
  </si>
  <si>
    <t>Resolución</t>
  </si>
  <si>
    <t>Rectangular</t>
  </si>
  <si>
    <t>Masa de la medida (kg)</t>
  </si>
  <si>
    <t>T</t>
  </si>
  <si>
    <t>Volumen de la medida (m3)</t>
  </si>
  <si>
    <t>V</t>
  </si>
  <si>
    <t>Norma, K=1</t>
  </si>
  <si>
    <t>Incertidumbre Estándar Combinada</t>
  </si>
  <si>
    <t>Incertidumbre Expandida, K = 2</t>
  </si>
  <si>
    <t>% VACIOS</t>
  </si>
  <si>
    <t>% Vacios</t>
  </si>
  <si>
    <t>m</t>
  </si>
  <si>
    <t>Gravedad especifica</t>
  </si>
  <si>
    <t>s</t>
  </si>
  <si>
    <t xml:space="preserve">VOLUMEN DE LA MEDIDA  </t>
  </si>
  <si>
    <t>VERIFICACION DE MOLDE</t>
  </si>
  <si>
    <t>molde usado</t>
  </si>
  <si>
    <t>w</t>
  </si>
  <si>
    <t>1/10</t>
  </si>
  <si>
    <t>1/3</t>
  </si>
  <si>
    <t>1/2</t>
  </si>
  <si>
    <t>Masa del agua, placa de vidrio y medida</t>
  </si>
  <si>
    <t>Masa de la placa de vidrio y medida</t>
  </si>
  <si>
    <t>T°C</t>
  </si>
  <si>
    <t>C</t>
  </si>
  <si>
    <t>Densidad agua</t>
  </si>
  <si>
    <r>
      <t>m</t>
    </r>
    <r>
      <rPr>
        <vertAlign val="superscript"/>
        <sz val="9"/>
        <rFont val="Arial"/>
        <family val="2"/>
      </rPr>
      <t>3</t>
    </r>
  </si>
  <si>
    <t>CALIBRACION DE LA BALANZA</t>
  </si>
  <si>
    <t>150KG</t>
  </si>
  <si>
    <t>30KG</t>
  </si>
  <si>
    <t>Correccion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</si>
  <si>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</si>
  <si>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</si>
  <si>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</si>
  <si>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</si>
  <si>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</si>
  <si>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</si>
  <si>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</si>
  <si>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</si>
  <si>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Ensayo 1</t>
  </si>
  <si>
    <t>Ensayo 2</t>
  </si>
  <si>
    <t>Ensayo 3</t>
  </si>
  <si>
    <t>8.6 Mida la temperatura del agua al 0.5 °C [1 °F] más cercano y determine su densidad de la Tabla 3, interpolando si es necesario.</t>
  </si>
  <si>
    <t>Tabla 03. Densidad del agua.</t>
  </si>
  <si>
    <t xml:space="preserve">8.7 Calcule el volumen, V, de la medida. Alternativamente, calcule el factor F para la medida. </t>
  </si>
  <si>
    <r>
      <t>NOTA 4 — Para el cálculo de la densidad aparente, el volumen de la medida en unidades SI debe expresarse en metros cúbicos, o el factor como 1/m</t>
    </r>
    <r>
      <rPr>
        <vertAlign val="superscript"/>
        <sz val="10"/>
        <color rgb="FF231F20"/>
        <rFont val="Arial"/>
        <family val="2"/>
      </rPr>
      <t>3</t>
    </r>
    <r>
      <rPr>
        <sz val="10"/>
        <color rgb="FF231F20"/>
        <rFont val="Arial"/>
        <family val="2"/>
      </rPr>
      <t>. Sin embargo, por conveniencia, el tamaño de la medida puede expresarse en litros.</t>
    </r>
  </si>
  <si>
    <t>Considerar que para la medida del volumen del molde:</t>
  </si>
  <si>
    <t>La verificacion del molde  se reliza usando el agua,  motivo por el cual el volumen del molde es: la diferencia de la masa del molde + agua y masa del molde.</t>
  </si>
  <si>
    <t>Masa de agua en el molde:</t>
  </si>
  <si>
    <t>Verificacion del molde de Peso Unitario</t>
  </si>
  <si>
    <t>MOLDE  USADO</t>
  </si>
  <si>
    <t>Promedio</t>
  </si>
  <si>
    <t>Desviacion estandar</t>
  </si>
  <si>
    <t>Temperatura del agua (X):</t>
  </si>
  <si>
    <t xml:space="preserve">Altura del molde :                                 </t>
  </si>
  <si>
    <t xml:space="preserve">Densidad del Agua (Y): </t>
  </si>
  <si>
    <t xml:space="preserve">Diametro del molde :                                 </t>
  </si>
  <si>
    <t>Volumen del Molde:</t>
  </si>
  <si>
    <t>m3</t>
  </si>
  <si>
    <t>Masa del Molde</t>
  </si>
  <si>
    <t>Volumen corregido por  T°:</t>
  </si>
  <si>
    <t>Masa del molde y vidrio + Agua</t>
  </si>
  <si>
    <t>T° DE AGUA</t>
  </si>
  <si>
    <t>Masa del agua en molde</t>
  </si>
  <si>
    <t xml:space="preserve">* COPIAR DE LA PARTE DE ABAJO EL MOLDE SEGÚN EL CODIGO (SOLO EL AMARILLO) QUE AN REGISTRADO EN LABORATORIO </t>
  </si>
  <si>
    <t>INS -003</t>
  </si>
  <si>
    <t>INS - 004</t>
  </si>
  <si>
    <t>INS - 005</t>
  </si>
  <si>
    <t>INS - 0135</t>
  </si>
  <si>
    <t>Fecha de evaluacion:</t>
  </si>
  <si>
    <t>1-Calcular la Incertidumbre estandar bajo condiciones de reproducibilidad Suelto C</t>
  </si>
  <si>
    <t>1-Calcular la Incertidumbre estandar bajo condiciones de reproducibilidad Compactado A</t>
  </si>
  <si>
    <t>T1</t>
  </si>
  <si>
    <t>T2</t>
  </si>
  <si>
    <t>T3</t>
  </si>
  <si>
    <t>T4</t>
  </si>
  <si>
    <t>T5</t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</si>
  <si>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</si>
  <si>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</si>
  <si>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Varianza Reproducibilidad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</si>
  <si>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</si>
  <si>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</si>
  <si>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</si>
  <si>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</si>
  <si>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</si>
  <si>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</si>
  <si>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</si>
  <si>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</si>
  <si>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</si>
  <si>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</si>
  <si>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</si>
  <si>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</si>
  <si>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</si>
  <si>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</si>
  <si>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</si>
  <si>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</si>
  <si>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</si>
  <si>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Método ensayo</t>
  </si>
  <si>
    <t xml:space="preserve">Factor de presicion </t>
  </si>
  <si>
    <t>PARAMETRO DE CONTROL</t>
  </si>
  <si>
    <t>Parametro calculado</t>
  </si>
  <si>
    <t>Limites diferencia Norma</t>
  </si>
  <si>
    <t>Control</t>
  </si>
  <si>
    <t>1S</t>
  </si>
  <si>
    <t>d2s</t>
  </si>
  <si>
    <t>Agregado grueso</t>
  </si>
  <si>
    <t>Agregado fino</t>
  </si>
  <si>
    <t>Tipo de muestra</t>
  </si>
  <si>
    <t>DAA</t>
  </si>
  <si>
    <t>Descripción de la muestra:</t>
  </si>
  <si>
    <t>Tamaño máximo nominal (in)</t>
  </si>
  <si>
    <t>Forma de la particula</t>
  </si>
  <si>
    <t>Página 1 de 1</t>
  </si>
  <si>
    <t>OPERADORES</t>
  </si>
  <si>
    <t>compactado</t>
  </si>
  <si>
    <t>suelto</t>
  </si>
  <si>
    <t>TIPO DE MUESTRA</t>
  </si>
  <si>
    <t>Gravedad específica base seca (ASTM C128-22)</t>
  </si>
  <si>
    <r>
      <rPr>
        <b/>
        <sz val="9"/>
        <rFont val="Arial"/>
        <family val="2"/>
      </rPr>
      <t>En observaciones se colocara</t>
    </r>
    <r>
      <rPr>
        <sz val="9"/>
        <rFont val="Arial"/>
        <family val="2"/>
      </rPr>
      <t xml:space="preserve"> </t>
    </r>
  </si>
  <si>
    <t>RECEPCIÓN N°</t>
  </si>
  <si>
    <t>ASTM C29/C29M-23</t>
  </si>
  <si>
    <t>OD</t>
  </si>
  <si>
    <t>Masa del agua, placa de vidrio y medida g</t>
  </si>
  <si>
    <t>Masa de la placa de vidrio y medida g</t>
  </si>
  <si>
    <r>
      <t>g/m</t>
    </r>
    <r>
      <rPr>
        <vertAlign val="superscript"/>
        <sz val="10"/>
        <rFont val="Arial"/>
        <family val="2"/>
      </rPr>
      <t>3</t>
    </r>
  </si>
  <si>
    <t>al 1%</t>
  </si>
  <si>
    <t>al 10 kg/m³</t>
  </si>
  <si>
    <t>Fecha de calibración</t>
  </si>
  <si>
    <t>Ref. Informe XX-26 XX, sobre la gravedad especifica</t>
  </si>
  <si>
    <t>FORMATO N° F-LEM-P-AG-22.01</t>
  </si>
  <si>
    <t>MUESTRA</t>
  </si>
  <si>
    <t>N° OT</t>
  </si>
  <si>
    <t>FECHA DE ENSAYO</t>
  </si>
  <si>
    <t>REALIZADO</t>
  </si>
  <si>
    <t>Standard Test Method for Bulk Density (“Unit Weight”) and Voids in Aggregate</t>
  </si>
  <si>
    <t>Datos del recipiente</t>
  </si>
  <si>
    <t>Marque el método "X"</t>
  </si>
  <si>
    <t>a</t>
  </si>
  <si>
    <t>A: Varillado</t>
  </si>
  <si>
    <t>b</t>
  </si>
  <si>
    <t>B: Percusión*</t>
  </si>
  <si>
    <t>c</t>
  </si>
  <si>
    <t>C: Suelto</t>
  </si>
  <si>
    <r>
      <t>* Desde Molde de 1pie</t>
    </r>
    <r>
      <rPr>
        <vertAlign val="superscript"/>
        <sz val="8"/>
        <rFont val="Arial"/>
        <family val="2"/>
      </rPr>
      <t>3</t>
    </r>
  </si>
  <si>
    <t>Tipo de muestra :</t>
  </si>
  <si>
    <t>Masa del agregado (g)</t>
  </si>
  <si>
    <t>IRMA, TIPO DE MUESTRA: AGREGADO FINO, GRUESO O MIXTO</t>
  </si>
  <si>
    <t>Tamaño máximo nominal agregado (visual) (in):</t>
  </si>
  <si>
    <t>Masa del agregado seco (g)</t>
  </si>
  <si>
    <t>Masa del agregado seco constante**(g)</t>
  </si>
  <si>
    <t>**A masa seco constante inferior a 0.1%</t>
  </si>
  <si>
    <t xml:space="preserve">Peso Unitario </t>
  </si>
  <si>
    <t>d</t>
  </si>
  <si>
    <t>e</t>
  </si>
  <si>
    <t>(d-b)</t>
  </si>
  <si>
    <t>f</t>
  </si>
  <si>
    <t>(e/c)</t>
  </si>
  <si>
    <t>Contenido de Vacíos</t>
  </si>
  <si>
    <t>i</t>
  </si>
  <si>
    <t>IRMA, Densidad relativa (gravedad especifica) (OD) - REALIZAR ENSAYO C127 O C128</t>
  </si>
  <si>
    <t>j</t>
  </si>
  <si>
    <t>k</t>
  </si>
  <si>
    <t>% de vacíos</t>
  </si>
  <si>
    <t>100*[(i*j)-f]/(i*j)</t>
  </si>
  <si>
    <t>Capacidad de medidas</t>
  </si>
  <si>
    <t>Equipo utilizado</t>
  </si>
  <si>
    <t>Código</t>
  </si>
  <si>
    <t>Balanza</t>
  </si>
  <si>
    <t>Varrilla de apisonamiento</t>
  </si>
  <si>
    <t>Horno</t>
  </si>
  <si>
    <t>Fuente: Norma ASTM C29/C29M-17a.</t>
  </si>
  <si>
    <t>Versión: 03 (04-01-2024)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</si>
  <si>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</si>
  <si>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</si>
  <si>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F. EMISIÓN</t>
  </si>
  <si>
    <t>OT N°</t>
  </si>
  <si>
    <t>CANTERA/SONDAJE **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</si>
  <si>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</si>
  <si>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</si>
  <si>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</si>
  <si>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</si>
  <si>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</si>
  <si>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</si>
  <si>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</si>
  <si>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2*RAIZ(1.14+0.000000000248*R2)</t>
  </si>
  <si>
    <t>2*RAIZ(0.0000639+0.000000000697*R2)</t>
  </si>
  <si>
    <t>FACTOR DE PRECISION OPERADOR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</si>
  <si>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</si>
  <si>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</si>
  <si>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</si>
  <si>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</si>
  <si>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</si>
  <si>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08 (2026-06-15)</t>
  </si>
  <si>
    <t>C Suelto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</si>
</sst>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"/>
    <numFmt numFmtId="165" formatCode="dd\-mmm\-yyyy"/>
    <numFmt numFmtId="166" formatCode="dd/mm/yyyy;@"/>
    <numFmt numFmtId="167" formatCode="0\ &quot;/ CO-06&quot;"/>
    <numFmt numFmtId="168" formatCode="#,##0.0"/>
    <numFmt numFmtId="169" formatCode="0.000"/>
    <numFmt numFmtId="170" formatCode="0.0000"/>
    <numFmt numFmtId="171" formatCode="dd\-mm\-yy;@"/>
    <numFmt numFmtId="172" formatCode="&quot;0&quot;0"/>
    <numFmt numFmtId="173" formatCode="0.00000"/>
    <numFmt numFmtId="174" formatCode="0.0E+00"/>
    <numFmt numFmtId="175" formatCode="0.0000000"/>
    <numFmt numFmtId="176" formatCode="0.000000"/>
    <numFmt numFmtId="177" formatCode="yyyy\-mm\-dd;@"/>
    <numFmt numFmtId="178" formatCode="0.00000000"/>
    <numFmt numFmtId="179" formatCode="&quot;INFORME DE ENSAYO N°&quot;000&quot;-26 AG22&quot;"/>
    <numFmt numFmtId="180" formatCode="000\-\ &quot;26&quot;"/>
    <numFmt numFmtId="181" formatCode="000&quot;-AG-26&quot;"/>
    <numFmt numFmtId="182" formatCode="&quot;FORMATO F-LEM-P-SU-11.01&quot;"/>
  </numFmts>
  <fonts count="6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sz val="6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b/>
      <sz val="10"/>
      <color theme="1"/>
      <name val="Arial"/>
      <family val="2"/>
    </font>
    <font>
      <sz val="10.5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sz val="10"/>
      <color rgb="FF231F20"/>
      <name val="Arial"/>
      <family val="2"/>
    </font>
    <font>
      <vertAlign val="superscript"/>
      <sz val="10"/>
      <color rgb="FF231F20"/>
      <name val="Arial"/>
      <family val="2"/>
    </font>
    <font>
      <b/>
      <i/>
      <u/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i/>
      <u/>
      <sz val="9"/>
      <name val="Arial"/>
      <family val="2"/>
    </font>
    <font>
      <b/>
      <sz val="9"/>
      <color rgb="FFFF0000"/>
      <name val="Arial"/>
      <family val="2"/>
    </font>
    <font>
      <sz val="9"/>
      <color rgb="FF0000FF"/>
      <name val="Arial"/>
      <family val="2"/>
    </font>
    <font>
      <sz val="10"/>
      <color theme="1"/>
      <name val="Calibri"/>
      <family val="2"/>
      <scheme val="minor"/>
    </font>
    <font>
      <vertAlign val="superscript"/>
      <sz val="10"/>
      <name val="Arial"/>
      <family val="2"/>
    </font>
    <font>
      <sz val="10"/>
      <color rgb="FF0000FF"/>
      <name val="Arial"/>
      <family val="2"/>
    </font>
    <font>
      <i/>
      <sz val="9"/>
      <name val="Arial"/>
      <family val="2"/>
    </font>
    <font>
      <i/>
      <vertAlign val="subscript"/>
      <sz val="9"/>
      <name val="Arial"/>
      <family val="2"/>
    </font>
    <font>
      <sz val="8"/>
      <color theme="1"/>
      <name val="Arial"/>
      <family val="2"/>
    </font>
    <font>
      <b/>
      <u/>
      <sz val="9"/>
      <name val="Arial"/>
      <family val="2"/>
    </font>
    <font>
      <sz val="9"/>
      <color theme="1"/>
      <name val="Arial"/>
      <family val="2"/>
    </font>
    <font>
      <b/>
      <i/>
      <u/>
      <sz val="9"/>
      <color theme="1"/>
      <name val="Arial"/>
      <family val="2"/>
    </font>
    <font>
      <vertAlign val="subscript"/>
      <sz val="10"/>
      <name val="Arial"/>
      <family val="2"/>
    </font>
    <font>
      <u/>
      <sz val="10"/>
      <name val="Arial"/>
      <family val="2"/>
    </font>
    <font>
      <b/>
      <u/>
      <sz val="11"/>
      <name val="Cambria"/>
      <family val="1"/>
      <scheme val="major"/>
    </font>
    <font>
      <sz val="11"/>
      <color rgb="FF231F20"/>
      <name val="Arial"/>
      <family val="2"/>
    </font>
    <font>
      <vertAlign val="superscript"/>
      <sz val="11"/>
      <color rgb="FF231F20"/>
      <name val="Arial"/>
      <family val="2"/>
    </font>
    <font>
      <vertAlign val="superscript"/>
      <sz val="9"/>
      <name val="Arial"/>
      <family val="2"/>
    </font>
    <font>
      <b/>
      <sz val="9"/>
      <color rgb="FF00B0F0"/>
      <name val="Arial"/>
      <family val="2"/>
    </font>
    <font>
      <sz val="10"/>
      <color theme="1"/>
      <name val="Calibri"/>
      <family val="2"/>
    </font>
    <font>
      <sz val="8.5"/>
      <name val="Arial"/>
      <family val="2"/>
    </font>
    <font>
      <b/>
      <sz val="8"/>
      <color rgb="FF0000FF"/>
      <name val="Arial"/>
      <family val="2"/>
    </font>
    <font>
      <sz val="9"/>
      <color rgb="FF000000"/>
      <name val="Arial"/>
      <family val="2"/>
    </font>
    <font>
      <vertAlign val="superscript"/>
      <sz val="8"/>
      <name val="Arial"/>
      <family val="2"/>
    </font>
    <font>
      <b/>
      <sz val="9"/>
      <color rgb="FF0000FF"/>
      <name val="Arial"/>
      <family val="2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62" fillId="0" borderId="0" applyNumberFormat="0" applyFill="0" applyBorder="0" applyAlignment="0" applyProtection="0">
      <alignment vertical="top"/>
      <protection locked="0"/>
    </xf>
  </cellStyleXfs>
  <cellXfs count="653">
    <xf numFmtId="0" fontId="0" fillId="0" borderId="0" xfId="0"/>
    <xf numFmtId="0" fontId="0" fillId="0" borderId="1" xfId="0" applyBorder="1"/>
    <xf numFmtId="2" fontId="8" fillId="2" borderId="1" xfId="0" applyNumberFormat="1" applyFont="1" applyFill="1" applyBorder="1" applyAlignment="1">
      <alignment vertical="center" wrapText="1"/>
    </xf>
    <xf numFmtId="10" fontId="9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10" fillId="0" borderId="1" xfId="0" applyFont="1" applyBorder="1" applyAlignment="1">
      <alignment horizontal="center"/>
    </xf>
    <xf numFmtId="0" fontId="13" fillId="0" borderId="1" xfId="0" applyFont="1" applyBorder="1"/>
    <xf numFmtId="16" fontId="13" fillId="0" borderId="1" xfId="0" applyNumberFormat="1" applyFont="1" applyBorder="1"/>
    <xf numFmtId="2" fontId="13" fillId="0" borderId="1" xfId="0" applyNumberFormat="1" applyFont="1" applyBorder="1"/>
    <xf numFmtId="2" fontId="14" fillId="2" borderId="1" xfId="0" applyNumberFormat="1" applyFont="1" applyFill="1" applyBorder="1" applyAlignment="1">
      <alignment vertical="center" wrapText="1"/>
    </xf>
    <xf numFmtId="167" fontId="10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2" fillId="0" borderId="0" xfId="3" applyNumberFormat="1" applyFont="1" applyAlignment="1" applyProtection="1">
      <alignment vertical="center"/>
      <protection locked="0"/>
    </xf>
    <xf numFmtId="0" fontId="25" fillId="3" borderId="0" xfId="3" applyFont="1" applyFill="1" applyAlignment="1">
      <alignment vertical="center" wrapText="1"/>
    </xf>
    <xf numFmtId="0" fontId="3" fillId="2" borderId="0" xfId="3" applyFill="1" applyAlignment="1">
      <alignment horizontal="left"/>
    </xf>
    <xf numFmtId="0" fontId="3" fillId="2" borderId="0" xfId="3" applyFill="1"/>
    <xf numFmtId="0" fontId="3" fillId="2" borderId="19" xfId="3" applyFill="1" applyBorder="1"/>
    <xf numFmtId="0" fontId="28" fillId="2" borderId="21" xfId="3" applyFont="1" applyFill="1" applyBorder="1" applyAlignment="1">
      <alignment vertical="center"/>
    </xf>
    <xf numFmtId="0" fontId="28" fillId="2" borderId="20" xfId="3" applyFont="1" applyFill="1" applyBorder="1" applyAlignment="1">
      <alignment horizontal="left" vertical="center" indent="1"/>
    </xf>
    <xf numFmtId="0" fontId="4" fillId="2" borderId="0" xfId="3" applyFont="1" applyFill="1" applyAlignment="1">
      <alignment vertical="center"/>
    </xf>
    <xf numFmtId="0" fontId="4" fillId="2" borderId="1" xfId="3" applyFont="1" applyFill="1" applyBorder="1"/>
    <xf numFmtId="0" fontId="0" fillId="0" borderId="0" xfId="0" applyAlignment="1">
      <alignment horizontal="justify" vertical="center"/>
    </xf>
    <xf numFmtId="0" fontId="31" fillId="0" borderId="0" xfId="0" applyFont="1" applyAlignment="1">
      <alignment horizontal="justify" vertical="center"/>
    </xf>
    <xf numFmtId="0" fontId="31" fillId="0" borderId="0" xfId="0" applyFont="1" applyAlignment="1">
      <alignment horizontal="center" vertical="center"/>
    </xf>
    <xf numFmtId="0" fontId="3" fillId="0" borderId="0" xfId="0" applyFont="1"/>
    <xf numFmtId="0" fontId="4" fillId="6" borderId="1" xfId="3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33" fillId="0" borderId="0" xfId="0" applyFont="1"/>
    <xf numFmtId="0" fontId="12" fillId="0" borderId="12" xfId="3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12" fillId="0" borderId="1" xfId="3" applyFont="1" applyBorder="1" applyAlignment="1" applyProtection="1">
      <alignment horizontal="left" vertical="center"/>
      <protection locked="0"/>
    </xf>
    <xf numFmtId="173" fontId="0" fillId="5" borderId="1" xfId="0" applyNumberFormat="1" applyFill="1" applyBorder="1" applyAlignment="1">
      <alignment horizontal="center"/>
    </xf>
    <xf numFmtId="0" fontId="3" fillId="0" borderId="0" xfId="3"/>
    <xf numFmtId="0" fontId="34" fillId="2" borderId="0" xfId="3" applyFont="1" applyFill="1" applyAlignment="1">
      <alignment vertical="center"/>
    </xf>
    <xf numFmtId="0" fontId="4" fillId="0" borderId="0" xfId="3" applyFont="1" applyAlignment="1">
      <alignment horizontal="right" vertical="center"/>
    </xf>
    <xf numFmtId="0" fontId="4" fillId="0" borderId="0" xfId="3" applyFont="1" applyAlignment="1">
      <alignment vertical="center"/>
    </xf>
    <xf numFmtId="0" fontId="3" fillId="0" borderId="0" xfId="3" applyAlignment="1">
      <alignment horizontal="right" vertical="center"/>
    </xf>
    <xf numFmtId="0" fontId="3" fillId="0" borderId="0" xfId="3" applyAlignment="1">
      <alignment horizontal="center" vertical="center"/>
    </xf>
    <xf numFmtId="0" fontId="4" fillId="0" borderId="25" xfId="3" applyFont="1" applyBorder="1" applyAlignment="1">
      <alignment vertical="center"/>
    </xf>
    <xf numFmtId="0" fontId="4" fillId="2" borderId="0" xfId="3" applyFont="1" applyFill="1" applyAlignment="1" applyProtection="1">
      <alignment vertical="center"/>
      <protection hidden="1"/>
    </xf>
    <xf numFmtId="0" fontId="3" fillId="6" borderId="1" xfId="3" applyFill="1" applyBorder="1" applyAlignment="1">
      <alignment horizontal="center" vertical="center"/>
    </xf>
    <xf numFmtId="1" fontId="3" fillId="6" borderId="1" xfId="3" applyNumberFormat="1" applyFill="1" applyBorder="1" applyAlignment="1">
      <alignment horizontal="center" vertical="center"/>
    </xf>
    <xf numFmtId="173" fontId="0" fillId="4" borderId="1" xfId="0" applyNumberFormat="1" applyFill="1" applyBorder="1" applyAlignment="1">
      <alignment horizontal="center"/>
    </xf>
    <xf numFmtId="164" fontId="3" fillId="4" borderId="24" xfId="3" applyNumberFormat="1" applyFill="1" applyBorder="1" applyAlignment="1">
      <alignment horizontal="center" vertical="center"/>
    </xf>
    <xf numFmtId="164" fontId="3" fillId="4" borderId="1" xfId="3" applyNumberFormat="1" applyFill="1" applyBorder="1" applyAlignment="1">
      <alignment horizontal="center" vertical="center"/>
    </xf>
    <xf numFmtId="170" fontId="4" fillId="4" borderId="1" xfId="0" applyNumberFormat="1" applyFont="1" applyFill="1" applyBorder="1" applyAlignment="1">
      <alignment horizontal="center"/>
    </xf>
    <xf numFmtId="0" fontId="3" fillId="4" borderId="1" xfId="3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6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17" fontId="10" fillId="0" borderId="0" xfId="0" applyNumberFormat="1" applyFont="1" applyAlignment="1" applyProtection="1">
      <alignment vertical="center"/>
      <protection locked="0"/>
    </xf>
    <xf numFmtId="14" fontId="6" fillId="0" borderId="0" xfId="0" applyNumberFormat="1" applyFont="1" applyAlignment="1" applyProtection="1">
      <alignment vertical="center"/>
      <protection locked="0"/>
    </xf>
    <xf numFmtId="0" fontId="10" fillId="0" borderId="2" xfId="0" applyFont="1" applyBorder="1" applyAlignment="1" applyProtection="1">
      <alignment vertical="center"/>
      <protection locked="0"/>
    </xf>
    <xf numFmtId="0" fontId="16" fillId="0" borderId="2" xfId="0" applyFont="1" applyBorder="1" applyAlignment="1" applyProtection="1">
      <alignment vertical="center"/>
      <protection locked="0"/>
    </xf>
    <xf numFmtId="171" fontId="10" fillId="0" borderId="8" xfId="0" applyNumberFormat="1" applyFont="1" applyBorder="1" applyAlignment="1" applyProtection="1">
      <alignment horizontal="left" vertical="center"/>
      <protection locked="0"/>
    </xf>
    <xf numFmtId="166" fontId="6" fillId="0" borderId="0" xfId="0" applyNumberFormat="1" applyFont="1" applyAlignment="1" applyProtection="1">
      <alignment horizontal="left" vertical="center"/>
      <protection locked="0"/>
    </xf>
    <xf numFmtId="0" fontId="19" fillId="0" borderId="0" xfId="2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9" fillId="0" borderId="0" xfId="3" applyFont="1" applyAlignment="1" applyProtection="1">
      <alignment vertical="center"/>
      <protection locked="0"/>
    </xf>
    <xf numFmtId="0" fontId="12" fillId="0" borderId="0" xfId="3" applyFont="1" applyAlignment="1" applyProtection="1">
      <alignment vertical="center"/>
      <protection locked="0"/>
    </xf>
    <xf numFmtId="169" fontId="19" fillId="0" borderId="0" xfId="3" applyNumberFormat="1" applyFont="1" applyAlignment="1" applyProtection="1">
      <alignment vertical="center" wrapText="1"/>
      <protection locked="0"/>
    </xf>
    <xf numFmtId="0" fontId="5" fillId="0" borderId="0" xfId="0" applyFont="1" applyAlignment="1">
      <alignment vertical="center"/>
    </xf>
    <xf numFmtId="0" fontId="10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2" applyFont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6" xfId="2" applyFont="1" applyBorder="1" applyAlignment="1">
      <alignment vertical="center"/>
    </xf>
    <xf numFmtId="0" fontId="10" fillId="0" borderId="7" xfId="2" applyFont="1" applyBorder="1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0" fillId="0" borderId="2" xfId="2" applyFont="1" applyBorder="1" applyAlignment="1">
      <alignment horizontal="right" vertical="center"/>
    </xf>
    <xf numFmtId="0" fontId="1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9" fillId="0" borderId="22" xfId="2" applyFont="1" applyBorder="1" applyAlignment="1">
      <alignment vertical="center"/>
    </xf>
    <xf numFmtId="0" fontId="19" fillId="0" borderId="0" xfId="2" applyFont="1" applyAlignment="1">
      <alignment vertical="center"/>
    </xf>
    <xf numFmtId="0" fontId="19" fillId="0" borderId="22" xfId="3" applyFont="1" applyBorder="1" applyAlignment="1">
      <alignment vertical="center"/>
    </xf>
    <xf numFmtId="0" fontId="12" fillId="0" borderId="13" xfId="3" applyFont="1" applyBorder="1" applyAlignment="1">
      <alignment horizontal="left" vertical="center"/>
    </xf>
    <xf numFmtId="0" fontId="12" fillId="0" borderId="11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9" fillId="0" borderId="0" xfId="3" applyFont="1" applyAlignment="1">
      <alignment horizontal="center" vertical="center"/>
    </xf>
    <xf numFmtId="0" fontId="12" fillId="0" borderId="22" xfId="3" applyFont="1" applyBorder="1" applyAlignment="1">
      <alignment horizontal="left" vertical="center"/>
    </xf>
    <xf numFmtId="169" fontId="12" fillId="0" borderId="11" xfId="3" applyNumberFormat="1" applyFont="1" applyBorder="1" applyAlignment="1">
      <alignment horizontal="center" vertical="center"/>
    </xf>
    <xf numFmtId="0" fontId="12" fillId="0" borderId="26" xfId="3" applyFont="1" applyBorder="1" applyAlignment="1">
      <alignment horizontal="center" vertical="center"/>
    </xf>
    <xf numFmtId="3" fontId="12" fillId="0" borderId="0" xfId="0" applyNumberFormat="1" applyFont="1" applyAlignment="1">
      <alignment vertical="center"/>
    </xf>
    <xf numFmtId="0" fontId="12" fillId="0" borderId="17" xfId="3" applyFont="1" applyBorder="1" applyAlignment="1">
      <alignment horizontal="left" vertical="center"/>
    </xf>
    <xf numFmtId="169" fontId="12" fillId="0" borderId="12" xfId="3" applyNumberFormat="1" applyFont="1" applyBorder="1" applyAlignment="1">
      <alignment horizontal="center" vertical="center"/>
    </xf>
    <xf numFmtId="168" fontId="12" fillId="0" borderId="0" xfId="0" applyNumberFormat="1" applyFont="1" applyAlignment="1">
      <alignment vertical="center"/>
    </xf>
    <xf numFmtId="0" fontId="12" fillId="0" borderId="2" xfId="3" applyFont="1" applyBorder="1" applyAlignment="1">
      <alignment horizontal="left" vertical="center"/>
    </xf>
    <xf numFmtId="0" fontId="12" fillId="0" borderId="2" xfId="3" applyFont="1" applyBorder="1" applyAlignment="1">
      <alignment horizontal="center" vertical="center"/>
    </xf>
    <xf numFmtId="168" fontId="12" fillId="0" borderId="2" xfId="0" applyNumberFormat="1" applyFont="1" applyBorder="1" applyAlignment="1">
      <alignment vertical="center"/>
    </xf>
    <xf numFmtId="0" fontId="19" fillId="0" borderId="21" xfId="2" applyFont="1" applyBorder="1" applyAlignment="1">
      <alignment vertical="center"/>
    </xf>
    <xf numFmtId="0" fontId="19" fillId="0" borderId="19" xfId="2" applyFont="1" applyBorder="1" applyAlignment="1">
      <alignment vertical="center"/>
    </xf>
    <xf numFmtId="0" fontId="19" fillId="0" borderId="20" xfId="3" applyFont="1" applyBorder="1" applyAlignment="1">
      <alignment vertical="center"/>
    </xf>
    <xf numFmtId="0" fontId="19" fillId="0" borderId="21" xfId="3" applyFont="1" applyBorder="1" applyAlignment="1">
      <alignment vertical="center"/>
    </xf>
    <xf numFmtId="0" fontId="19" fillId="0" borderId="19" xfId="3" applyFont="1" applyBorder="1" applyAlignment="1">
      <alignment vertical="center"/>
    </xf>
    <xf numFmtId="0" fontId="19" fillId="0" borderId="1" xfId="3" applyFont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9" fillId="0" borderId="19" xfId="3" applyFont="1" applyBorder="1" applyAlignment="1">
      <alignment horizontal="center" vertical="center"/>
    </xf>
    <xf numFmtId="0" fontId="12" fillId="0" borderId="14" xfId="3" applyFont="1" applyBorder="1" applyAlignment="1">
      <alignment horizontal="left" vertical="center"/>
    </xf>
    <xf numFmtId="0" fontId="12" fillId="0" borderId="14" xfId="3" applyFont="1" applyBorder="1" applyAlignment="1">
      <alignment horizontal="center" vertical="center"/>
    </xf>
    <xf numFmtId="169" fontId="12" fillId="0" borderId="10" xfId="3" applyNumberFormat="1" applyFont="1" applyBorder="1" applyAlignment="1">
      <alignment horizontal="center" vertical="center"/>
    </xf>
    <xf numFmtId="0" fontId="12" fillId="0" borderId="15" xfId="3" applyFont="1" applyBorder="1" applyAlignment="1">
      <alignment horizontal="left" vertical="center"/>
    </xf>
    <xf numFmtId="0" fontId="12" fillId="0" borderId="16" xfId="3" applyFont="1" applyBorder="1" applyAlignment="1">
      <alignment horizontal="left" vertical="center"/>
    </xf>
    <xf numFmtId="0" fontId="12" fillId="0" borderId="16" xfId="3" applyFont="1" applyBorder="1" applyAlignment="1">
      <alignment horizontal="center" vertical="center"/>
    </xf>
    <xf numFmtId="0" fontId="12" fillId="0" borderId="18" xfId="3" applyFont="1" applyBorder="1" applyAlignment="1">
      <alignment horizontal="left" vertical="center"/>
    </xf>
    <xf numFmtId="0" fontId="12" fillId="0" borderId="18" xfId="3" applyFont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169" fontId="12" fillId="0" borderId="9" xfId="3" applyNumberFormat="1" applyFont="1" applyBorder="1" applyAlignment="1">
      <alignment horizontal="center" vertical="center"/>
    </xf>
    <xf numFmtId="0" fontId="12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169" fontId="12" fillId="0" borderId="0" xfId="3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9" fontId="19" fillId="0" borderId="0" xfId="3" applyNumberFormat="1" applyFont="1" applyAlignment="1">
      <alignment vertical="center" wrapText="1"/>
    </xf>
    <xf numFmtId="0" fontId="12" fillId="0" borderId="0" xfId="3" applyFont="1" applyAlignment="1">
      <alignment horizontal="left" vertical="center"/>
    </xf>
    <xf numFmtId="169" fontId="19" fillId="0" borderId="0" xfId="3" applyNumberFormat="1" applyFont="1" applyAlignment="1">
      <alignment horizontal="left" vertical="center"/>
    </xf>
    <xf numFmtId="1" fontId="19" fillId="0" borderId="0" xfId="3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5" xfId="0" applyBorder="1"/>
    <xf numFmtId="0" fontId="0" fillId="0" borderId="30" xfId="0" applyBorder="1"/>
    <xf numFmtId="0" fontId="3" fillId="0" borderId="25" xfId="3" applyBorder="1"/>
    <xf numFmtId="0" fontId="3" fillId="4" borderId="31" xfId="0" applyFont="1" applyFill="1" applyBorder="1" applyAlignment="1">
      <alignment horizontal="center" wrapText="1"/>
    </xf>
    <xf numFmtId="170" fontId="4" fillId="4" borderId="31" xfId="0" applyNumberFormat="1" applyFont="1" applyFill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36" fillId="0" borderId="0" xfId="0" applyFont="1"/>
    <xf numFmtId="165" fontId="6" fillId="0" borderId="0" xfId="0" applyNumberFormat="1" applyFont="1" applyAlignment="1" applyProtection="1">
      <alignment horizontal="left" vertical="center"/>
      <protection locked="0"/>
    </xf>
    <xf numFmtId="0" fontId="19" fillId="0" borderId="1" xfId="2" applyFont="1" applyBorder="1" applyAlignment="1">
      <alignment horizontal="center" vertical="center"/>
    </xf>
    <xf numFmtId="0" fontId="37" fillId="0" borderId="0" xfId="4" applyFont="1" applyAlignment="1">
      <alignment horizontal="right" vertical="center"/>
    </xf>
    <xf numFmtId="1" fontId="12" fillId="0" borderId="12" xfId="3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0" fillId="0" borderId="2" xfId="2" applyFont="1" applyBorder="1" applyAlignment="1">
      <alignment vertical="center"/>
    </xf>
    <xf numFmtId="0" fontId="16" fillId="0" borderId="0" xfId="0" applyFont="1" applyAlignment="1">
      <alignment horizontal="justify" vertical="center"/>
    </xf>
    <xf numFmtId="0" fontId="12" fillId="0" borderId="21" xfId="3" applyFont="1" applyBorder="1" applyAlignment="1">
      <alignment horizontal="center" vertical="center"/>
    </xf>
    <xf numFmtId="169" fontId="19" fillId="0" borderId="0" xfId="3" applyNumberFormat="1" applyFont="1" applyAlignment="1">
      <alignment horizontal="center" vertical="center" wrapText="1"/>
    </xf>
    <xf numFmtId="1" fontId="19" fillId="0" borderId="1" xfId="3" applyNumberFormat="1" applyFont="1" applyBorder="1" applyAlignment="1">
      <alignment horizontal="center" vertical="center" wrapText="1"/>
    </xf>
    <xf numFmtId="169" fontId="12" fillId="0" borderId="1" xfId="3" applyNumberFormat="1" applyFont="1" applyBorder="1" applyAlignment="1">
      <alignment horizontal="center" vertical="center"/>
    </xf>
    <xf numFmtId="169" fontId="19" fillId="0" borderId="20" xfId="3" applyNumberFormat="1" applyFont="1" applyBorder="1" applyAlignment="1">
      <alignment horizontal="left" vertical="center"/>
    </xf>
    <xf numFmtId="169" fontId="19" fillId="0" borderId="19" xfId="3" applyNumberFormat="1" applyFont="1" applyBorder="1" applyAlignment="1">
      <alignment vertical="center" wrapText="1"/>
    </xf>
    <xf numFmtId="0" fontId="12" fillId="0" borderId="1" xfId="3" applyFont="1" applyBorder="1" applyAlignment="1">
      <alignment horizontal="center" vertical="center"/>
    </xf>
    <xf numFmtId="1" fontId="12" fillId="0" borderId="1" xfId="3" applyNumberFormat="1" applyFont="1" applyBorder="1" applyAlignment="1">
      <alignment horizontal="center" vertical="center"/>
    </xf>
    <xf numFmtId="0" fontId="12" fillId="0" borderId="4" xfId="3" applyFont="1" applyBorder="1" applyAlignment="1">
      <alignment horizontal="left" vertical="center"/>
    </xf>
    <xf numFmtId="0" fontId="12" fillId="0" borderId="3" xfId="3" applyFont="1" applyBorder="1" applyAlignment="1">
      <alignment horizontal="left" vertical="center"/>
    </xf>
    <xf numFmtId="0" fontId="12" fillId="0" borderId="3" xfId="3" applyFont="1" applyBorder="1" applyAlignment="1">
      <alignment horizontal="center" vertical="center"/>
    </xf>
    <xf numFmtId="169" fontId="12" fillId="0" borderId="23" xfId="3" applyNumberFormat="1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5" xfId="3" applyFont="1" applyBorder="1" applyAlignment="1">
      <alignment horizontal="center" vertical="center"/>
    </xf>
    <xf numFmtId="0" fontId="12" fillId="0" borderId="7" xfId="3" applyFont="1" applyBorder="1" applyAlignment="1">
      <alignment horizontal="left" vertical="center"/>
    </xf>
    <xf numFmtId="1" fontId="12" fillId="0" borderId="24" xfId="3" applyNumberFormat="1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169" fontId="12" fillId="0" borderId="8" xfId="3" applyNumberFormat="1" applyFont="1" applyBorder="1" applyAlignment="1">
      <alignment horizontal="center" vertical="center"/>
    </xf>
    <xf numFmtId="0" fontId="12" fillId="0" borderId="20" xfId="3" applyFont="1" applyBorder="1" applyAlignment="1">
      <alignment horizontal="left" vertical="center"/>
    </xf>
    <xf numFmtId="0" fontId="12" fillId="0" borderId="21" xfId="3" applyFont="1" applyBorder="1" applyAlignment="1">
      <alignment horizontal="left" vertical="center"/>
    </xf>
    <xf numFmtId="0" fontId="12" fillId="0" borderId="19" xfId="3" applyFont="1" applyBorder="1" applyAlignment="1">
      <alignment horizontal="center" vertical="center"/>
    </xf>
    <xf numFmtId="2" fontId="12" fillId="0" borderId="23" xfId="3" applyNumberFormat="1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2" fillId="0" borderId="8" xfId="3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9" fillId="0" borderId="21" xfId="2" applyFont="1" applyBorder="1" applyAlignment="1" applyProtection="1">
      <alignment vertical="center"/>
      <protection locked="0"/>
    </xf>
    <xf numFmtId="0" fontId="19" fillId="0" borderId="19" xfId="2" applyFont="1" applyBorder="1" applyAlignment="1" applyProtection="1">
      <alignment vertical="center"/>
      <protection locked="0"/>
    </xf>
    <xf numFmtId="0" fontId="6" fillId="0" borderId="19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2" fillId="0" borderId="23" xfId="3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9" fillId="0" borderId="20" xfId="3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169" fontId="12" fillId="0" borderId="24" xfId="3" applyNumberFormat="1" applyFont="1" applyBorder="1" applyAlignment="1">
      <alignment horizontal="center" vertical="center"/>
    </xf>
    <xf numFmtId="0" fontId="38" fillId="0" borderId="0" xfId="2" applyFont="1" applyAlignment="1" applyProtection="1">
      <alignment vertical="center"/>
      <protection locked="0"/>
    </xf>
    <xf numFmtId="2" fontId="12" fillId="0" borderId="1" xfId="3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vertical="center"/>
      <protection locked="0"/>
    </xf>
    <xf numFmtId="0" fontId="3" fillId="2" borderId="0" xfId="0" applyFont="1" applyFill="1"/>
    <xf numFmtId="0" fontId="40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0" xfId="3" applyFont="1" applyFill="1" applyAlignment="1">
      <alignment horizontal="left"/>
    </xf>
    <xf numFmtId="0" fontId="4" fillId="2" borderId="0" xfId="3" applyFont="1" applyFill="1"/>
    <xf numFmtId="0" fontId="3" fillId="2" borderId="1" xfId="3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173" fontId="3" fillId="2" borderId="1" xfId="3" applyNumberFormat="1" applyFill="1" applyBorder="1" applyAlignment="1">
      <alignment horizontal="center"/>
    </xf>
    <xf numFmtId="0" fontId="24" fillId="2" borderId="1" xfId="6" applyFont="1" applyFill="1" applyBorder="1" applyAlignment="1">
      <alignment horizontal="center" vertical="center"/>
    </xf>
    <xf numFmtId="172" fontId="24" fillId="2" borderId="1" xfId="6" quotePrefix="1" applyNumberFormat="1" applyFont="1" applyFill="1" applyBorder="1" applyAlignment="1">
      <alignment horizontal="center" vertical="center"/>
    </xf>
    <xf numFmtId="0" fontId="26" fillId="2" borderId="20" xfId="3" applyFont="1" applyFill="1" applyBorder="1" applyAlignment="1">
      <alignment vertical="center"/>
    </xf>
    <xf numFmtId="0" fontId="26" fillId="2" borderId="20" xfId="3" applyFont="1" applyFill="1" applyBorder="1" applyAlignment="1">
      <alignment vertical="center" wrapText="1"/>
    </xf>
    <xf numFmtId="0" fontId="3" fillId="2" borderId="4" xfId="3" applyFill="1" applyBorder="1"/>
    <xf numFmtId="0" fontId="3" fillId="2" borderId="6" xfId="3" applyFill="1" applyBorder="1"/>
    <xf numFmtId="169" fontId="12" fillId="2" borderId="35" xfId="3" quotePrefix="1" applyNumberFormat="1" applyFont="1" applyFill="1" applyBorder="1" applyAlignment="1" applyProtection="1">
      <alignment horizontal="center" vertical="center"/>
      <protection locked="0"/>
    </xf>
    <xf numFmtId="169" fontId="12" fillId="2" borderId="35" xfId="3" applyNumberFormat="1" applyFont="1" applyFill="1" applyBorder="1" applyAlignment="1" applyProtection="1">
      <alignment horizontal="center" vertical="center"/>
      <protection locked="0"/>
    </xf>
    <xf numFmtId="2" fontId="12" fillId="2" borderId="35" xfId="3" applyNumberFormat="1" applyFont="1" applyFill="1" applyBorder="1" applyAlignment="1" applyProtection="1">
      <alignment vertical="center"/>
      <protection hidden="1"/>
    </xf>
    <xf numFmtId="2" fontId="12" fillId="2" borderId="42" xfId="3" applyNumberFormat="1" applyFont="1" applyFill="1" applyBorder="1" applyAlignment="1" applyProtection="1">
      <alignment horizontal="center" vertical="center"/>
      <protection hidden="1"/>
    </xf>
    <xf numFmtId="164" fontId="12" fillId="7" borderId="35" xfId="3" quotePrefix="1" applyNumberFormat="1" applyFont="1" applyFill="1" applyBorder="1" applyAlignment="1" applyProtection="1">
      <alignment horizontal="center" vertical="center"/>
      <protection hidden="1"/>
    </xf>
    <xf numFmtId="2" fontId="12" fillId="7" borderId="35" xfId="3" applyNumberFormat="1" applyFont="1" applyFill="1" applyBorder="1" applyAlignment="1" applyProtection="1">
      <alignment horizontal="center" vertical="center"/>
      <protection locked="0"/>
    </xf>
    <xf numFmtId="169" fontId="12" fillId="7" borderId="42" xfId="3" quotePrefix="1" applyNumberFormat="1" applyFont="1" applyFill="1" applyBorder="1" applyAlignment="1" applyProtection="1">
      <alignment horizontal="center" vertical="center"/>
      <protection locked="0"/>
    </xf>
    <xf numFmtId="2" fontId="12" fillId="7" borderId="42" xfId="3" applyNumberFormat="1" applyFont="1" applyFill="1" applyBorder="1" applyAlignment="1" applyProtection="1">
      <alignment vertical="center"/>
      <protection hidden="1"/>
    </xf>
    <xf numFmtId="0" fontId="24" fillId="2" borderId="0" xfId="6" applyFont="1" applyFill="1" applyAlignment="1">
      <alignment horizontal="center" vertical="center"/>
    </xf>
    <xf numFmtId="172" fontId="24" fillId="2" borderId="0" xfId="6" quotePrefix="1" applyNumberFormat="1" applyFont="1" applyFill="1" applyAlignment="1">
      <alignment horizontal="center" vertical="center"/>
    </xf>
    <xf numFmtId="14" fontId="24" fillId="2" borderId="0" xfId="6" applyNumberFormat="1" applyFont="1" applyFill="1" applyAlignment="1">
      <alignment horizontal="center" vertical="center"/>
    </xf>
    <xf numFmtId="170" fontId="12" fillId="2" borderId="57" xfId="3" quotePrefix="1" applyNumberFormat="1" applyFont="1" applyFill="1" applyBorder="1" applyAlignment="1" applyProtection="1">
      <alignment horizontal="left" vertical="center" wrapText="1"/>
      <protection locked="0"/>
    </xf>
    <xf numFmtId="2" fontId="12" fillId="2" borderId="57" xfId="3" applyNumberFormat="1" applyFont="1" applyFill="1" applyBorder="1" applyAlignment="1" applyProtection="1">
      <alignment horizontal="left" vertical="center" wrapText="1"/>
      <protection locked="0"/>
    </xf>
    <xf numFmtId="2" fontId="12" fillId="7" borderId="39" xfId="3" applyNumberFormat="1" applyFont="1" applyFill="1" applyBorder="1" applyAlignment="1" applyProtection="1">
      <alignment horizontal="center" vertical="center"/>
      <protection locked="0"/>
    </xf>
    <xf numFmtId="169" fontId="12" fillId="7" borderId="54" xfId="3" quotePrefix="1" applyNumberFormat="1" applyFont="1" applyFill="1" applyBorder="1" applyAlignment="1" applyProtection="1">
      <alignment horizontal="center" vertical="center"/>
      <protection locked="0"/>
    </xf>
    <xf numFmtId="2" fontId="12" fillId="7" borderId="54" xfId="3" applyNumberFormat="1" applyFont="1" applyFill="1" applyBorder="1" applyAlignment="1" applyProtection="1">
      <alignment vertical="center"/>
      <protection hidden="1"/>
    </xf>
    <xf numFmtId="2" fontId="12" fillId="2" borderId="48" xfId="3" applyNumberFormat="1" applyFont="1" applyFill="1" applyBorder="1" applyAlignment="1" applyProtection="1">
      <alignment vertical="center"/>
      <protection hidden="1"/>
    </xf>
    <xf numFmtId="2" fontId="12" fillId="7" borderId="58" xfId="3" applyNumberFormat="1" applyFont="1" applyFill="1" applyBorder="1" applyAlignment="1" applyProtection="1">
      <alignment horizontal="left" vertical="center"/>
      <protection locked="0"/>
    </xf>
    <xf numFmtId="0" fontId="12" fillId="2" borderId="55" xfId="3" applyFont="1" applyFill="1" applyBorder="1" applyAlignment="1">
      <alignment vertical="center"/>
    </xf>
    <xf numFmtId="170" fontId="12" fillId="2" borderId="57" xfId="3" quotePrefix="1" applyNumberFormat="1" applyFont="1" applyFill="1" applyBorder="1" applyAlignment="1" applyProtection="1">
      <alignment vertical="center" wrapText="1"/>
      <protection locked="0"/>
    </xf>
    <xf numFmtId="2" fontId="12" fillId="2" borderId="57" xfId="3" applyNumberFormat="1" applyFont="1" applyFill="1" applyBorder="1" applyAlignment="1" applyProtection="1">
      <alignment vertical="center" wrapText="1"/>
      <protection locked="0"/>
    </xf>
    <xf numFmtId="2" fontId="12" fillId="2" borderId="35" xfId="0" applyNumberFormat="1" applyFont="1" applyFill="1" applyBorder="1" applyAlignment="1" applyProtection="1">
      <alignment vertical="center"/>
      <protection hidden="1"/>
    </xf>
    <xf numFmtId="2" fontId="12" fillId="2" borderId="35" xfId="3" applyNumberFormat="1" applyFont="1" applyFill="1" applyBorder="1" applyAlignment="1" applyProtection="1">
      <alignment horizontal="left" vertical="center"/>
      <protection hidden="1"/>
    </xf>
    <xf numFmtId="1" fontId="12" fillId="7" borderId="39" xfId="3" quotePrefix="1" applyNumberFormat="1" applyFont="1" applyFill="1" applyBorder="1" applyAlignment="1" applyProtection="1">
      <alignment horizontal="center" vertical="center"/>
      <protection hidden="1"/>
    </xf>
    <xf numFmtId="1" fontId="12" fillId="7" borderId="35" xfId="3" quotePrefix="1" applyNumberFormat="1" applyFont="1" applyFill="1" applyBorder="1" applyAlignment="1" applyProtection="1">
      <alignment horizontal="center" vertical="center"/>
      <protection hidden="1"/>
    </xf>
    <xf numFmtId="0" fontId="12" fillId="7" borderId="48" xfId="3" applyFont="1" applyFill="1" applyBorder="1" applyAlignment="1">
      <alignment horizontal="center" vertical="center" wrapText="1"/>
    </xf>
    <xf numFmtId="2" fontId="12" fillId="7" borderId="57" xfId="3" applyNumberFormat="1" applyFont="1" applyFill="1" applyBorder="1" applyAlignment="1" applyProtection="1">
      <alignment horizontal="left" vertical="center" wrapText="1"/>
      <protection locked="0"/>
    </xf>
    <xf numFmtId="170" fontId="12" fillId="7" borderId="35" xfId="3" quotePrefix="1" applyNumberFormat="1" applyFont="1" applyFill="1" applyBorder="1" applyAlignment="1" applyProtection="1">
      <alignment horizontal="center" vertical="center"/>
      <protection hidden="1"/>
    </xf>
    <xf numFmtId="174" fontId="12" fillId="7" borderId="35" xfId="3" applyNumberFormat="1" applyFont="1" applyFill="1" applyBorder="1" applyAlignment="1" applyProtection="1">
      <alignment horizontal="center" vertical="center"/>
      <protection hidden="1"/>
    </xf>
    <xf numFmtId="170" fontId="12" fillId="7" borderId="40" xfId="3" quotePrefix="1" applyNumberFormat="1" applyFont="1" applyFill="1" applyBorder="1" applyAlignment="1" applyProtection="1">
      <alignment horizontal="center" vertical="center"/>
      <protection hidden="1"/>
    </xf>
    <xf numFmtId="1" fontId="12" fillId="7" borderId="35" xfId="3" applyNumberFormat="1" applyFont="1" applyFill="1" applyBorder="1" applyAlignment="1" applyProtection="1">
      <alignment horizontal="center" vertical="center"/>
      <protection locked="0"/>
    </xf>
    <xf numFmtId="174" fontId="12" fillId="7" borderId="40" xfId="3" applyNumberFormat="1" applyFont="1" applyFill="1" applyBorder="1" applyAlignment="1" applyProtection="1">
      <alignment horizontal="center" vertical="center"/>
      <protection hidden="1"/>
    </xf>
    <xf numFmtId="170" fontId="12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11" fontId="12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170" fontId="12" fillId="2" borderId="40" xfId="3" applyNumberFormat="1" applyFont="1" applyFill="1" applyBorder="1" applyAlignment="1" applyProtection="1">
      <alignment horizontal="center" vertical="center"/>
      <protection hidden="1"/>
    </xf>
    <xf numFmtId="11" fontId="12" fillId="2" borderId="40" xfId="3" quotePrefix="1" applyNumberFormat="1" applyFont="1" applyFill="1" applyBorder="1" applyAlignment="1" applyProtection="1">
      <alignment horizontal="center" vertical="center" wrapText="1"/>
      <protection hidden="1"/>
    </xf>
    <xf numFmtId="2" fontId="12" fillId="2" borderId="57" xfId="3" quotePrefix="1" applyNumberFormat="1" applyFont="1" applyFill="1" applyBorder="1" applyAlignment="1" applyProtection="1">
      <alignment horizontal="left" vertical="center"/>
      <protection locked="0"/>
    </xf>
    <xf numFmtId="2" fontId="12" fillId="7" borderId="57" xfId="3" applyNumberFormat="1" applyFont="1" applyFill="1" applyBorder="1" applyAlignment="1" applyProtection="1">
      <alignment horizontal="left" vertical="center"/>
      <protection locked="0"/>
    </xf>
    <xf numFmtId="169" fontId="12" fillId="7" borderId="35" xfId="3" quotePrefix="1" applyNumberFormat="1" applyFont="1" applyFill="1" applyBorder="1" applyAlignment="1" applyProtection="1">
      <alignment horizontal="center" vertical="center"/>
      <protection hidden="1"/>
    </xf>
    <xf numFmtId="11" fontId="12" fillId="7" borderId="35" xfId="3" quotePrefix="1" applyNumberFormat="1" applyFont="1" applyFill="1" applyBorder="1" applyAlignment="1" applyProtection="1">
      <alignment horizontal="center" vertical="center" wrapText="1"/>
      <protection hidden="1"/>
    </xf>
    <xf numFmtId="164" fontId="12" fillId="7" borderId="35" xfId="3" applyNumberFormat="1" applyFont="1" applyFill="1" applyBorder="1" applyAlignment="1" applyProtection="1">
      <alignment horizontal="center" vertical="center"/>
      <protection locked="0"/>
    </xf>
    <xf numFmtId="170" fontId="12" fillId="7" borderId="54" xfId="3" quotePrefix="1" applyNumberFormat="1" applyFont="1" applyFill="1" applyBorder="1" applyAlignment="1" applyProtection="1">
      <alignment horizontal="center" vertical="center" wrapText="1"/>
      <protection hidden="1"/>
    </xf>
    <xf numFmtId="2" fontId="12" fillId="7" borderId="41" xfId="3" applyNumberFormat="1" applyFont="1" applyFill="1" applyBorder="1" applyAlignment="1" applyProtection="1">
      <alignment horizontal="center" vertical="center"/>
      <protection locked="0"/>
    </xf>
    <xf numFmtId="2" fontId="12" fillId="7" borderId="42" xfId="3" applyNumberFormat="1" applyFont="1" applyFill="1" applyBorder="1" applyAlignment="1" applyProtection="1">
      <alignment horizontal="center" vertical="center"/>
      <protection locked="0"/>
    </xf>
    <xf numFmtId="170" fontId="12" fillId="7" borderId="42" xfId="3" quotePrefix="1" applyNumberFormat="1" applyFont="1" applyFill="1" applyBorder="1" applyAlignment="1" applyProtection="1">
      <alignment horizontal="center" vertical="center" wrapText="1"/>
      <protection hidden="1"/>
    </xf>
    <xf numFmtId="170" fontId="12" fillId="2" borderId="48" xfId="3" quotePrefix="1" applyNumberFormat="1" applyFont="1" applyFill="1" applyBorder="1" applyAlignment="1" applyProtection="1">
      <alignment horizontal="center" vertical="center" wrapText="1"/>
      <protection hidden="1"/>
    </xf>
    <xf numFmtId="11" fontId="12" fillId="2" borderId="48" xfId="3" quotePrefix="1" applyNumberFormat="1" applyFont="1" applyFill="1" applyBorder="1" applyAlignment="1" applyProtection="1">
      <alignment horizontal="center" vertical="center" wrapText="1"/>
      <protection hidden="1"/>
    </xf>
    <xf numFmtId="2" fontId="12" fillId="2" borderId="59" xfId="3" applyNumberFormat="1" applyFont="1" applyFill="1" applyBorder="1" applyAlignment="1" applyProtection="1">
      <alignment horizontal="center" vertical="center"/>
      <protection locked="0"/>
    </xf>
    <xf numFmtId="2" fontId="12" fillId="2" borderId="48" xfId="3" applyNumberFormat="1" applyFont="1" applyFill="1" applyBorder="1" applyAlignment="1" applyProtection="1">
      <alignment horizontal="center" vertical="center"/>
      <protection locked="0"/>
    </xf>
    <xf numFmtId="170" fontId="12" fillId="2" borderId="37" xfId="3" quotePrefix="1" applyNumberFormat="1" applyFont="1" applyFill="1" applyBorder="1" applyAlignment="1" applyProtection="1">
      <alignment horizontal="center" vertical="center" wrapText="1"/>
      <protection hidden="1"/>
    </xf>
    <xf numFmtId="11" fontId="12" fillId="2" borderId="37" xfId="3" quotePrefix="1" applyNumberFormat="1" applyFont="1" applyFill="1" applyBorder="1" applyAlignment="1" applyProtection="1">
      <alignment horizontal="center" vertical="center" wrapText="1"/>
      <protection hidden="1"/>
    </xf>
    <xf numFmtId="170" fontId="12" fillId="2" borderId="42" xfId="3" quotePrefix="1" applyNumberFormat="1" applyFont="1" applyFill="1" applyBorder="1" applyAlignment="1" applyProtection="1">
      <alignment horizontal="center" vertical="center" wrapText="1"/>
      <protection hidden="1"/>
    </xf>
    <xf numFmtId="11" fontId="12" fillId="2" borderId="42" xfId="3" quotePrefix="1" applyNumberFormat="1" applyFont="1" applyFill="1" applyBorder="1" applyAlignment="1" applyProtection="1">
      <alignment horizontal="center" vertical="center" wrapText="1"/>
      <protection hidden="1"/>
    </xf>
    <xf numFmtId="2" fontId="12" fillId="2" borderId="42" xfId="3" applyNumberFormat="1" applyFont="1" applyFill="1" applyBorder="1" applyAlignment="1" applyProtection="1">
      <alignment horizontal="center" vertical="center"/>
      <protection locked="0"/>
    </xf>
    <xf numFmtId="170" fontId="12" fillId="2" borderId="42" xfId="3" applyNumberFormat="1" applyFont="1" applyFill="1" applyBorder="1" applyAlignment="1" applyProtection="1">
      <alignment horizontal="center" vertical="center"/>
      <protection hidden="1"/>
    </xf>
    <xf numFmtId="170" fontId="12" fillId="2" borderId="43" xfId="3" applyNumberFormat="1" applyFont="1" applyFill="1" applyBorder="1" applyAlignment="1" applyProtection="1">
      <alignment horizontal="center" vertical="center"/>
      <protection hidden="1"/>
    </xf>
    <xf numFmtId="0" fontId="12" fillId="7" borderId="55" xfId="3" applyFont="1" applyFill="1" applyBorder="1" applyAlignment="1">
      <alignment horizontal="center" vertical="center"/>
    </xf>
    <xf numFmtId="0" fontId="12" fillId="7" borderId="47" xfId="3" applyFont="1" applyFill="1" applyBorder="1" applyAlignment="1">
      <alignment horizontal="center" vertical="center" wrapText="1"/>
    </xf>
    <xf numFmtId="0" fontId="12" fillId="7" borderId="49" xfId="3" applyFont="1" applyFill="1" applyBorder="1" applyAlignment="1">
      <alignment horizontal="center" vertical="center" wrapText="1"/>
    </xf>
    <xf numFmtId="0" fontId="12" fillId="7" borderId="47" xfId="3" applyFont="1" applyFill="1" applyBorder="1" applyAlignment="1">
      <alignment horizontal="center" vertical="center"/>
    </xf>
    <xf numFmtId="0" fontId="12" fillId="7" borderId="59" xfId="3" applyFont="1" applyFill="1" applyBorder="1" applyAlignment="1">
      <alignment horizontal="center" vertical="center"/>
    </xf>
    <xf numFmtId="164" fontId="12" fillId="2" borderId="56" xfId="3" quotePrefix="1" applyNumberFormat="1" applyFont="1" applyFill="1" applyBorder="1" applyAlignment="1" applyProtection="1">
      <alignment horizontal="left" vertical="center" wrapText="1"/>
      <protection locked="0"/>
    </xf>
    <xf numFmtId="1" fontId="12" fillId="2" borderId="44" xfId="3" quotePrefix="1" applyNumberFormat="1" applyFont="1" applyFill="1" applyBorder="1" applyAlignment="1" applyProtection="1">
      <alignment horizontal="center" vertical="center" wrapText="1"/>
      <protection hidden="1"/>
    </xf>
    <xf numFmtId="1" fontId="12" fillId="2" borderId="45" xfId="3" quotePrefix="1" applyNumberFormat="1" applyFont="1" applyFill="1" applyBorder="1" applyAlignment="1" applyProtection="1">
      <alignment horizontal="center" vertical="center" wrapText="1"/>
      <protection hidden="1"/>
    </xf>
    <xf numFmtId="1" fontId="12" fillId="2" borderId="46" xfId="3" quotePrefix="1" applyNumberFormat="1" applyFont="1" applyFill="1" applyBorder="1" applyAlignment="1" applyProtection="1">
      <alignment horizontal="center" vertical="center" wrapText="1"/>
      <protection hidden="1"/>
    </xf>
    <xf numFmtId="1" fontId="12" fillId="2" borderId="36" xfId="3" quotePrefix="1" applyNumberFormat="1" applyFont="1" applyFill="1" applyBorder="1" applyAlignment="1" applyProtection="1">
      <alignment horizontal="center" vertical="center" wrapText="1"/>
      <protection hidden="1"/>
    </xf>
    <xf numFmtId="1" fontId="12" fillId="2" borderId="37" xfId="3" quotePrefix="1" applyNumberFormat="1" applyFont="1" applyFill="1" applyBorder="1" applyAlignment="1" applyProtection="1">
      <alignment horizontal="center" vertical="center"/>
      <protection locked="0"/>
    </xf>
    <xf numFmtId="1" fontId="12" fillId="2" borderId="37" xfId="3" quotePrefix="1" applyNumberFormat="1" applyFont="1" applyFill="1" applyBorder="1" applyAlignment="1" applyProtection="1">
      <alignment horizontal="center" vertical="center" wrapText="1"/>
      <protection hidden="1"/>
    </xf>
    <xf numFmtId="1" fontId="12" fillId="2" borderId="38" xfId="3" quotePrefix="1" applyNumberFormat="1" applyFont="1" applyFill="1" applyBorder="1" applyAlignment="1" applyProtection="1">
      <alignment horizontal="center" vertical="center" wrapText="1"/>
      <protection hidden="1"/>
    </xf>
    <xf numFmtId="0" fontId="12" fillId="2" borderId="37" xfId="3" quotePrefix="1" applyFont="1" applyFill="1" applyBorder="1" applyAlignment="1" applyProtection="1">
      <alignment horizontal="center" vertical="center" wrapText="1"/>
      <protection hidden="1"/>
    </xf>
    <xf numFmtId="0" fontId="12" fillId="2" borderId="38" xfId="3" quotePrefix="1" applyFont="1" applyFill="1" applyBorder="1" applyAlignment="1" applyProtection="1">
      <alignment horizontal="center" vertical="center" wrapText="1"/>
      <protection hidden="1"/>
    </xf>
    <xf numFmtId="169" fontId="12" fillId="2" borderId="49" xfId="3" applyNumberFormat="1" applyFont="1" applyFill="1" applyBorder="1" applyAlignment="1">
      <alignment horizontal="center" vertical="center"/>
    </xf>
    <xf numFmtId="169" fontId="12" fillId="2" borderId="48" xfId="3" applyNumberFormat="1" applyFont="1" applyFill="1" applyBorder="1" applyAlignment="1">
      <alignment horizontal="center" vertical="center"/>
    </xf>
    <xf numFmtId="0" fontId="3" fillId="2" borderId="1" xfId="3" applyFill="1" applyBorder="1"/>
    <xf numFmtId="0" fontId="3" fillId="2" borderId="20" xfId="3" applyFill="1" applyBorder="1"/>
    <xf numFmtId="0" fontId="12" fillId="2" borderId="5" xfId="3" applyFont="1" applyFill="1" applyBorder="1" applyAlignment="1">
      <alignment horizontal="right" vertical="center"/>
    </xf>
    <xf numFmtId="0" fontId="12" fillId="2" borderId="22" xfId="3" applyFont="1" applyFill="1" applyBorder="1" applyAlignment="1">
      <alignment horizontal="right" vertical="center"/>
    </xf>
    <xf numFmtId="0" fontId="12" fillId="2" borderId="19" xfId="3" applyFont="1" applyFill="1" applyBorder="1" applyAlignment="1">
      <alignment horizontal="right" vertical="center"/>
    </xf>
    <xf numFmtId="0" fontId="45" fillId="0" borderId="0" xfId="4" applyFont="1" applyAlignment="1">
      <alignment horizontal="left" vertical="center"/>
    </xf>
    <xf numFmtId="0" fontId="46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47" fillId="0" borderId="0" xfId="4" quotePrefix="1" applyFont="1" applyAlignment="1">
      <alignment horizontal="left" vertical="center"/>
    </xf>
    <xf numFmtId="0" fontId="47" fillId="0" borderId="0" xfId="4" applyFont="1" applyAlignment="1">
      <alignment horizontal="left" vertical="center"/>
    </xf>
    <xf numFmtId="0" fontId="47" fillId="0" borderId="0" xfId="4" quotePrefix="1" applyFont="1" applyAlignment="1" applyProtection="1">
      <alignment horizontal="left" vertical="center"/>
      <protection locked="0"/>
    </xf>
    <xf numFmtId="0" fontId="48" fillId="0" borderId="0" xfId="4" applyFont="1" applyAlignment="1">
      <alignment vertical="center"/>
    </xf>
    <xf numFmtId="0" fontId="1" fillId="2" borderId="0" xfId="0" applyFont="1" applyFill="1"/>
    <xf numFmtId="0" fontId="28" fillId="2" borderId="0" xfId="0" applyFont="1" applyFill="1"/>
    <xf numFmtId="17" fontId="21" fillId="2" borderId="0" xfId="0" applyNumberFormat="1" applyFont="1" applyFill="1" applyAlignment="1">
      <alignment horizontal="center"/>
    </xf>
    <xf numFmtId="0" fontId="3" fillId="2" borderId="0" xfId="3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0" xfId="0" quotePrefix="1" applyFont="1" applyAlignment="1" applyProtection="1">
      <alignment horizontal="center" vertical="center"/>
      <protection locked="0"/>
    </xf>
    <xf numFmtId="0" fontId="50" fillId="2" borderId="0" xfId="3" applyFont="1" applyFill="1"/>
    <xf numFmtId="0" fontId="30" fillId="2" borderId="0" xfId="3" applyFont="1" applyFill="1"/>
    <xf numFmtId="0" fontId="3" fillId="2" borderId="0" xfId="3" applyFill="1" applyAlignment="1">
      <alignment vertical="top" wrapText="1"/>
    </xf>
    <xf numFmtId="0" fontId="19" fillId="2" borderId="0" xfId="3" applyFont="1" applyFill="1" applyAlignment="1">
      <alignment horizontal="right"/>
    </xf>
    <xf numFmtId="2" fontId="3" fillId="8" borderId="1" xfId="0" applyNumberFormat="1" applyFont="1" applyFill="1" applyBorder="1" applyAlignment="1">
      <alignment horizontal="center"/>
    </xf>
    <xf numFmtId="164" fontId="3" fillId="5" borderId="1" xfId="3" applyNumberFormat="1" applyFill="1" applyBorder="1" applyAlignment="1">
      <alignment horizontal="center" vertical="center"/>
    </xf>
    <xf numFmtId="2" fontId="12" fillId="7" borderId="57" xfId="3" quotePrefix="1" applyNumberFormat="1" applyFont="1" applyFill="1" applyBorder="1" applyAlignment="1" applyProtection="1">
      <alignment horizontal="left" vertical="center" wrapText="1"/>
      <protection locked="0"/>
    </xf>
    <xf numFmtId="0" fontId="30" fillId="2" borderId="0" xfId="3" applyFont="1" applyFill="1" applyAlignment="1">
      <alignment horizontal="left"/>
    </xf>
    <xf numFmtId="11" fontId="3" fillId="2" borderId="0" xfId="3" applyNumberFormat="1" applyFill="1" applyAlignment="1">
      <alignment horizontal="center"/>
    </xf>
    <xf numFmtId="0" fontId="3" fillId="2" borderId="0" xfId="3" applyFill="1" applyAlignment="1">
      <alignment horizontal="center"/>
    </xf>
    <xf numFmtId="0" fontId="3" fillId="2" borderId="0" xfId="3" quotePrefix="1" applyFill="1" applyAlignment="1">
      <alignment horizontal="left"/>
    </xf>
    <xf numFmtId="169" fontId="12" fillId="7" borderId="39" xfId="3" quotePrefix="1" applyNumberFormat="1" applyFont="1" applyFill="1" applyBorder="1" applyAlignment="1" applyProtection="1">
      <alignment horizontal="center" vertical="center"/>
      <protection hidden="1"/>
    </xf>
    <xf numFmtId="169" fontId="3" fillId="2" borderId="1" xfId="3" applyNumberFormat="1" applyFill="1" applyBorder="1" applyAlignment="1">
      <alignment horizontal="center"/>
    </xf>
    <xf numFmtId="170" fontId="3" fillId="2" borderId="1" xfId="3" applyNumberFormat="1" applyFill="1" applyBorder="1" applyAlignment="1">
      <alignment horizontal="center"/>
    </xf>
    <xf numFmtId="0" fontId="18" fillId="3" borderId="0" xfId="3" applyFont="1" applyFill="1" applyAlignment="1">
      <alignment vertical="center" wrapText="1"/>
    </xf>
    <xf numFmtId="0" fontId="22" fillId="3" borderId="4" xfId="5" applyFont="1" applyFill="1" applyBorder="1" applyAlignment="1">
      <alignment vertical="center" wrapText="1"/>
    </xf>
    <xf numFmtId="0" fontId="22" fillId="3" borderId="3" xfId="5" applyFont="1" applyFill="1" applyBorder="1" applyAlignment="1">
      <alignment vertical="center" wrapText="1"/>
    </xf>
    <xf numFmtId="0" fontId="22" fillId="3" borderId="5" xfId="5" applyFont="1" applyFill="1" applyBorder="1" applyAlignment="1">
      <alignment vertical="center" wrapText="1"/>
    </xf>
    <xf numFmtId="0" fontId="22" fillId="3" borderId="33" xfId="5" applyFont="1" applyFill="1" applyBorder="1" applyAlignment="1">
      <alignment vertical="center" wrapText="1"/>
    </xf>
    <xf numFmtId="0" fontId="18" fillId="3" borderId="33" xfId="5" applyFont="1" applyFill="1" applyBorder="1" applyAlignment="1">
      <alignment vertical="center" wrapText="1"/>
    </xf>
    <xf numFmtId="2" fontId="12" fillId="7" borderId="39" xfId="3" quotePrefix="1" applyNumberFormat="1" applyFont="1" applyFill="1" applyBorder="1" applyAlignment="1" applyProtection="1">
      <alignment horizontal="center" vertical="center"/>
      <protection hidden="1"/>
    </xf>
    <xf numFmtId="176" fontId="12" fillId="7" borderId="35" xfId="3" quotePrefix="1" applyNumberFormat="1" applyFont="1" applyFill="1" applyBorder="1" applyAlignment="1" applyProtection="1">
      <alignment horizontal="center" vertical="center"/>
      <protection hidden="1"/>
    </xf>
    <xf numFmtId="169" fontId="12" fillId="7" borderId="40" xfId="3" quotePrefix="1" applyNumberFormat="1" applyFont="1" applyFill="1" applyBorder="1" applyAlignment="1" applyProtection="1">
      <alignment horizontal="center" vertical="center"/>
      <protection hidden="1"/>
    </xf>
    <xf numFmtId="0" fontId="10" fillId="2" borderId="20" xfId="3" quotePrefix="1" applyFont="1" applyFill="1" applyBorder="1" applyAlignment="1">
      <alignment vertical="center"/>
    </xf>
    <xf numFmtId="0" fontId="10" fillId="2" borderId="19" xfId="3" applyFont="1" applyFill="1" applyBorder="1" applyAlignment="1">
      <alignment vertical="center"/>
    </xf>
    <xf numFmtId="0" fontId="3" fillId="2" borderId="1" xfId="3" applyFill="1" applyBorder="1" applyAlignment="1">
      <alignment horizontal="center" vertical="center"/>
    </xf>
    <xf numFmtId="0" fontId="10" fillId="2" borderId="4" xfId="3" applyFont="1" applyFill="1" applyBorder="1" applyAlignment="1">
      <alignment vertical="center"/>
    </xf>
    <xf numFmtId="0" fontId="10" fillId="2" borderId="3" xfId="3" applyFont="1" applyFill="1" applyBorder="1" applyAlignment="1">
      <alignment vertical="center"/>
    </xf>
    <xf numFmtId="0" fontId="3" fillId="2" borderId="23" xfId="3" applyFill="1" applyBorder="1" applyAlignment="1">
      <alignment horizontal="center" vertical="center"/>
    </xf>
    <xf numFmtId="0" fontId="10" fillId="2" borderId="20" xfId="3" applyFont="1" applyFill="1" applyBorder="1" applyAlignment="1">
      <alignment vertical="center"/>
    </xf>
    <xf numFmtId="0" fontId="10" fillId="2" borderId="21" xfId="3" applyFont="1" applyFill="1" applyBorder="1" applyAlignment="1">
      <alignment vertical="center"/>
    </xf>
    <xf numFmtId="0" fontId="10" fillId="2" borderId="7" xfId="3" applyFont="1" applyFill="1" applyBorder="1" applyAlignment="1">
      <alignment vertical="center"/>
    </xf>
    <xf numFmtId="0" fontId="10" fillId="2" borderId="2" xfId="3" applyFont="1" applyFill="1" applyBorder="1" applyAlignment="1">
      <alignment vertical="center"/>
    </xf>
    <xf numFmtId="0" fontId="3" fillId="2" borderId="24" xfId="3" applyFill="1" applyBorder="1" applyAlignment="1">
      <alignment horizontal="center" vertical="center"/>
    </xf>
    <xf numFmtId="0" fontId="25" fillId="3" borderId="24" xfId="3" applyFont="1" applyFill="1" applyBorder="1" applyAlignment="1">
      <alignment vertical="center" wrapText="1"/>
    </xf>
    <xf numFmtId="0" fontId="25" fillId="3" borderId="24" xfId="3" applyFont="1" applyFill="1" applyBorder="1" applyAlignment="1">
      <alignment horizontal="center" vertical="center" wrapText="1"/>
    </xf>
    <xf numFmtId="2" fontId="12" fillId="2" borderId="37" xfId="3" applyNumberFormat="1" applyFont="1" applyFill="1" applyBorder="1" applyAlignment="1" applyProtection="1">
      <alignment vertical="center"/>
      <protection hidden="1"/>
    </xf>
    <xf numFmtId="176" fontId="12" fillId="2" borderId="38" xfId="3" applyNumberFormat="1" applyFont="1" applyFill="1" applyBorder="1" applyAlignment="1">
      <alignment horizontal="center" vertical="center"/>
    </xf>
    <xf numFmtId="175" fontId="12" fillId="2" borderId="43" xfId="3" applyNumberFormat="1" applyFont="1" applyFill="1" applyBorder="1" applyAlignment="1">
      <alignment horizontal="center" vertical="center"/>
    </xf>
    <xf numFmtId="170" fontId="12" fillId="7" borderId="60" xfId="3" quotePrefix="1" applyNumberFormat="1" applyFont="1" applyFill="1" applyBorder="1" applyAlignment="1" applyProtection="1">
      <alignment horizontal="center" vertical="center"/>
      <protection hidden="1"/>
    </xf>
    <xf numFmtId="170" fontId="12" fillId="2" borderId="60" xfId="3" quotePrefix="1" applyNumberFormat="1" applyFont="1" applyFill="1" applyBorder="1" applyAlignment="1" applyProtection="1">
      <alignment horizontal="center" vertical="center" wrapText="1"/>
      <protection hidden="1"/>
    </xf>
    <xf numFmtId="169" fontId="12" fillId="7" borderId="60" xfId="3" quotePrefix="1" applyNumberFormat="1" applyFont="1" applyFill="1" applyBorder="1" applyAlignment="1" applyProtection="1">
      <alignment horizontal="center" vertical="center"/>
      <protection hidden="1"/>
    </xf>
    <xf numFmtId="0" fontId="4" fillId="2" borderId="1" xfId="3" applyFont="1" applyFill="1" applyBorder="1" applyAlignment="1">
      <alignment horizontal="center" vertical="center"/>
    </xf>
    <xf numFmtId="170" fontId="12" fillId="2" borderId="35" xfId="3" applyNumberFormat="1" applyFont="1" applyFill="1" applyBorder="1" applyAlignment="1" applyProtection="1">
      <alignment horizontal="center" vertical="center"/>
      <protection locked="0"/>
    </xf>
    <xf numFmtId="173" fontId="12" fillId="2" borderId="35" xfId="3" applyNumberFormat="1" applyFont="1" applyFill="1" applyBorder="1" applyAlignment="1" applyProtection="1">
      <alignment horizontal="center" vertical="center"/>
      <protection locked="0"/>
    </xf>
    <xf numFmtId="1" fontId="12" fillId="2" borderId="42" xfId="3" applyNumberFormat="1" applyFont="1" applyFill="1" applyBorder="1" applyAlignment="1">
      <alignment horizontal="center" vertical="center"/>
    </xf>
    <xf numFmtId="0" fontId="39" fillId="7" borderId="1" xfId="3" applyFont="1" applyFill="1" applyBorder="1" applyAlignment="1" applyProtection="1">
      <alignment horizontal="center" vertical="center"/>
      <protection locked="0"/>
    </xf>
    <xf numFmtId="169" fontId="39" fillId="7" borderId="10" xfId="3" applyNumberFormat="1" applyFont="1" applyFill="1" applyBorder="1" applyAlignment="1" applyProtection="1">
      <alignment horizontal="center" vertical="center"/>
      <protection locked="0"/>
    </xf>
    <xf numFmtId="0" fontId="4" fillId="0" borderId="1" xfId="3" applyFont="1" applyBorder="1" applyAlignment="1">
      <alignment horizontal="center"/>
    </xf>
    <xf numFmtId="0" fontId="3" fillId="0" borderId="1" xfId="3" applyBorder="1" applyAlignment="1">
      <alignment horizontal="center"/>
    </xf>
    <xf numFmtId="0" fontId="15" fillId="0" borderId="0" xfId="2" applyFont="1" applyAlignment="1">
      <alignment vertical="center"/>
    </xf>
    <xf numFmtId="0" fontId="10" fillId="0" borderId="1" xfId="3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0" fontId="12" fillId="0" borderId="4" xfId="3" applyFont="1" applyBorder="1"/>
    <xf numFmtId="0" fontId="12" fillId="0" borderId="3" xfId="3" applyFont="1" applyBorder="1"/>
    <xf numFmtId="0" fontId="12" fillId="0" borderId="20" xfId="3" applyFont="1" applyBorder="1"/>
    <xf numFmtId="0" fontId="12" fillId="0" borderId="19" xfId="3" applyFont="1" applyBorder="1"/>
    <xf numFmtId="0" fontId="12" fillId="0" borderId="6" xfId="3" applyFont="1" applyBorder="1"/>
    <xf numFmtId="0" fontId="12" fillId="0" borderId="0" xfId="3" applyFont="1"/>
    <xf numFmtId="0" fontId="12" fillId="0" borderId="22" xfId="3" applyFont="1" applyBorder="1"/>
    <xf numFmtId="171" fontId="12" fillId="0" borderId="0" xfId="3" applyNumberFormat="1" applyFont="1" applyAlignment="1">
      <alignment horizontal="center" vertical="center"/>
    </xf>
    <xf numFmtId="0" fontId="12" fillId="0" borderId="5" xfId="3" applyFont="1" applyBorder="1"/>
    <xf numFmtId="0" fontId="12" fillId="0" borderId="7" xfId="3" applyFont="1" applyBorder="1"/>
    <xf numFmtId="0" fontId="12" fillId="0" borderId="2" xfId="3" applyFont="1" applyBorder="1"/>
    <xf numFmtId="171" fontId="12" fillId="0" borderId="2" xfId="3" applyNumberFormat="1" applyFont="1" applyBorder="1" applyAlignment="1">
      <alignment horizontal="center" vertical="center"/>
    </xf>
    <xf numFmtId="0" fontId="12" fillId="0" borderId="8" xfId="3" applyFont="1" applyBorder="1"/>
    <xf numFmtId="0" fontId="19" fillId="0" borderId="4" xfId="3" applyFont="1" applyBorder="1"/>
    <xf numFmtId="0" fontId="19" fillId="0" borderId="6" xfId="3" applyFont="1" applyBorder="1"/>
    <xf numFmtId="0" fontId="19" fillId="0" borderId="7" xfId="3" applyFont="1" applyBorder="1"/>
    <xf numFmtId="0" fontId="15" fillId="0" borderId="24" xfId="0" applyFont="1" applyBorder="1" applyAlignment="1">
      <alignment vertical="center" wrapText="1"/>
    </xf>
    <xf numFmtId="0" fontId="19" fillId="0" borderId="20" xfId="3" applyFont="1" applyBorder="1" applyAlignment="1">
      <alignment horizontal="center" vertical="center"/>
    </xf>
    <xf numFmtId="1" fontId="42" fillId="2" borderId="1" xfId="3" applyNumberFormat="1" applyFont="1" applyFill="1" applyBorder="1" applyAlignment="1" applyProtection="1">
      <alignment horizontal="center"/>
      <protection locked="0"/>
    </xf>
    <xf numFmtId="2" fontId="42" fillId="0" borderId="1" xfId="3" applyNumberFormat="1" applyFont="1" applyBorder="1" applyAlignment="1" applyProtection="1">
      <alignment horizontal="center"/>
      <protection locked="0"/>
    </xf>
    <xf numFmtId="2" fontId="39" fillId="7" borderId="1" xfId="3" applyNumberFormat="1" applyFont="1" applyFill="1" applyBorder="1" applyAlignment="1" applyProtection="1">
      <alignment horizontal="center" vertical="center"/>
      <protection locked="0"/>
    </xf>
    <xf numFmtId="169" fontId="12" fillId="0" borderId="19" xfId="3" applyNumberFormat="1" applyFont="1" applyBorder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/>
    </xf>
    <xf numFmtId="0" fontId="3" fillId="2" borderId="0" xfId="3" applyFill="1" applyAlignment="1">
      <alignment vertical="center"/>
    </xf>
    <xf numFmtId="0" fontId="28" fillId="2" borderId="21" xfId="3" applyFont="1" applyFill="1" applyBorder="1" applyAlignment="1">
      <alignment horizontal="left" vertical="center"/>
    </xf>
    <xf numFmtId="0" fontId="3" fillId="2" borderId="21" xfId="3" applyFill="1" applyBorder="1" applyAlignment="1">
      <alignment vertical="center"/>
    </xf>
    <xf numFmtId="0" fontId="3" fillId="2" borderId="19" xfId="3" applyFill="1" applyBorder="1" applyAlignment="1">
      <alignment vertical="center"/>
    </xf>
    <xf numFmtId="0" fontId="0" fillId="0" borderId="0" xfId="0" applyAlignment="1">
      <alignment vertical="center"/>
    </xf>
    <xf numFmtId="0" fontId="27" fillId="2" borderId="0" xfId="3" applyFont="1" applyFill="1" applyAlignment="1">
      <alignment horizontal="right" vertical="center"/>
    </xf>
    <xf numFmtId="0" fontId="3" fillId="2" borderId="0" xfId="3" applyFill="1" applyAlignment="1">
      <alignment horizontal="left" vertical="center"/>
    </xf>
    <xf numFmtId="0" fontId="12" fillId="2" borderId="0" xfId="3" applyFont="1" applyFill="1" applyAlignment="1">
      <alignment vertical="center"/>
    </xf>
    <xf numFmtId="0" fontId="12" fillId="2" borderId="39" xfId="3" applyFont="1" applyFill="1" applyBorder="1" applyAlignment="1">
      <alignment vertical="center"/>
    </xf>
    <xf numFmtId="0" fontId="12" fillId="2" borderId="47" xfId="3" applyFont="1" applyFill="1" applyBorder="1" applyAlignment="1">
      <alignment vertical="center"/>
    </xf>
    <xf numFmtId="0" fontId="12" fillId="2" borderId="48" xfId="3" applyFont="1" applyFill="1" applyBorder="1" applyAlignment="1">
      <alignment vertical="center"/>
    </xf>
    <xf numFmtId="0" fontId="3" fillId="2" borderId="24" xfId="3" applyFill="1" applyBorder="1" applyAlignment="1">
      <alignment vertical="center"/>
    </xf>
    <xf numFmtId="0" fontId="3" fillId="2" borderId="1" xfId="3" applyFill="1" applyBorder="1" applyAlignment="1">
      <alignment vertical="center"/>
    </xf>
    <xf numFmtId="2" fontId="12" fillId="2" borderId="39" xfId="3" applyNumberFormat="1" applyFont="1" applyFill="1" applyBorder="1" applyAlignment="1">
      <alignment vertical="center"/>
    </xf>
    <xf numFmtId="2" fontId="3" fillId="2" borderId="0" xfId="3" applyNumberFormat="1" applyFill="1" applyAlignment="1">
      <alignment horizontal="center" vertical="center"/>
    </xf>
    <xf numFmtId="0" fontId="12" fillId="2" borderId="37" xfId="3" applyFont="1" applyFill="1" applyBorder="1" applyAlignment="1">
      <alignment vertical="center"/>
    </xf>
    <xf numFmtId="0" fontId="3" fillId="2" borderId="42" xfId="3" applyFill="1" applyBorder="1" applyAlignment="1">
      <alignment vertical="center"/>
    </xf>
    <xf numFmtId="176" fontId="12" fillId="0" borderId="1" xfId="3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vertical="center"/>
      <protection locked="0"/>
    </xf>
    <xf numFmtId="176" fontId="6" fillId="0" borderId="1" xfId="0" applyNumberFormat="1" applyFont="1" applyBorder="1" applyAlignment="1">
      <alignment horizontal="center" vertical="center"/>
    </xf>
    <xf numFmtId="2" fontId="12" fillId="7" borderId="53" xfId="3" applyNumberFormat="1" applyFont="1" applyFill="1" applyBorder="1" applyAlignment="1">
      <alignment horizontal="center" vertical="center"/>
    </xf>
    <xf numFmtId="0" fontId="25" fillId="3" borderId="1" xfId="3" applyFont="1" applyFill="1" applyBorder="1" applyAlignment="1">
      <alignment horizontal="center" vertical="center" wrapText="1"/>
    </xf>
    <xf numFmtId="169" fontId="12" fillId="7" borderId="39" xfId="3" applyNumberFormat="1" applyFont="1" applyFill="1" applyBorder="1" applyAlignment="1" applyProtection="1">
      <alignment horizontal="center" vertical="center"/>
      <protection locked="0"/>
    </xf>
    <xf numFmtId="15" fontId="3" fillId="2" borderId="1" xfId="0" applyNumberFormat="1" applyFont="1" applyFill="1" applyBorder="1" applyAlignment="1" applyProtection="1">
      <alignment horizontal="center"/>
      <protection locked="0"/>
    </xf>
    <xf numFmtId="173" fontId="3" fillId="2" borderId="1" xfId="3" applyNumberFormat="1" applyFill="1" applyBorder="1" applyAlignment="1">
      <alignment horizontal="center" vertical="center"/>
    </xf>
    <xf numFmtId="2" fontId="12" fillId="7" borderId="35" xfId="3" quotePrefix="1" applyNumberFormat="1" applyFont="1" applyFill="1" applyBorder="1" applyAlignment="1" applyProtection="1">
      <alignment horizontal="center" vertical="center"/>
      <protection hidden="1"/>
    </xf>
    <xf numFmtId="0" fontId="25" fillId="0" borderId="24" xfId="3" applyFont="1" applyBorder="1" applyAlignment="1">
      <alignment horizontal="center" vertical="center" wrapText="1"/>
    </xf>
    <xf numFmtId="0" fontId="3" fillId="0" borderId="24" xfId="3" applyBorder="1" applyAlignment="1">
      <alignment vertical="center"/>
    </xf>
    <xf numFmtId="16" fontId="25" fillId="0" borderId="1" xfId="3" quotePrefix="1" applyNumberFormat="1" applyFont="1" applyBorder="1" applyAlignment="1">
      <alignment horizontal="center" vertical="center" wrapText="1"/>
    </xf>
    <xf numFmtId="0" fontId="3" fillId="0" borderId="1" xfId="3" applyBorder="1" applyAlignment="1">
      <alignment vertical="center"/>
    </xf>
    <xf numFmtId="0" fontId="25" fillId="0" borderId="1" xfId="3" quotePrefix="1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170" fontId="3" fillId="0" borderId="1" xfId="3" applyNumberFormat="1" applyBorder="1" applyAlignment="1">
      <alignment horizontal="center" vertical="center"/>
    </xf>
    <xf numFmtId="173" fontId="3" fillId="0" borderId="1" xfId="3" applyNumberFormat="1" applyBorder="1" applyAlignment="1">
      <alignment horizontal="center" vertical="center"/>
    </xf>
    <xf numFmtId="1" fontId="3" fillId="0" borderId="1" xfId="3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55" fillId="0" borderId="1" xfId="2" applyFont="1" applyBorder="1" applyAlignment="1" applyProtection="1">
      <alignment horizontal="center" vertical="center"/>
      <protection locked="0"/>
    </xf>
    <xf numFmtId="0" fontId="56" fillId="2" borderId="0" xfId="0" applyFont="1" applyFill="1"/>
    <xf numFmtId="176" fontId="12" fillId="7" borderId="39" xfId="3" quotePrefix="1" applyNumberFormat="1" applyFont="1" applyFill="1" applyBorder="1" applyAlignment="1" applyProtection="1">
      <alignment horizontal="center" vertical="center"/>
      <protection hidden="1"/>
    </xf>
    <xf numFmtId="176" fontId="12" fillId="7" borderId="39" xfId="3" applyNumberFormat="1" applyFont="1" applyFill="1" applyBorder="1" applyAlignment="1" applyProtection="1">
      <alignment horizontal="center" vertical="center"/>
      <protection locked="0"/>
    </xf>
    <xf numFmtId="176" fontId="12" fillId="7" borderId="40" xfId="3" quotePrefix="1" applyNumberFormat="1" applyFont="1" applyFill="1" applyBorder="1" applyAlignment="1" applyProtection="1">
      <alignment horizontal="center" vertical="center"/>
      <protection hidden="1"/>
    </xf>
    <xf numFmtId="169" fontId="19" fillId="0" borderId="1" xfId="3" applyNumberFormat="1" applyFont="1" applyBorder="1" applyAlignment="1" applyProtection="1">
      <alignment horizontal="center" vertical="center" wrapText="1"/>
      <protection locked="0"/>
    </xf>
    <xf numFmtId="1" fontId="19" fillId="0" borderId="1" xfId="3" applyNumberFormat="1" applyFont="1" applyBorder="1" applyAlignment="1" applyProtection="1">
      <alignment horizontal="center" vertical="center" wrapText="1"/>
      <protection locked="0"/>
    </xf>
    <xf numFmtId="0" fontId="22" fillId="2" borderId="0" xfId="3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50" fillId="2" borderId="0" xfId="3" applyFont="1" applyFill="1" applyAlignment="1">
      <alignment vertical="center"/>
    </xf>
    <xf numFmtId="0" fontId="3" fillId="2" borderId="0" xfId="3" applyFill="1" applyAlignment="1">
      <alignment horizontal="left" vertical="center" indent="1"/>
    </xf>
    <xf numFmtId="0" fontId="47" fillId="0" borderId="0" xfId="4" applyFont="1" applyAlignment="1">
      <alignment horizontal="left" vertical="center" indent="1"/>
    </xf>
    <xf numFmtId="1" fontId="39" fillId="7" borderId="1" xfId="3" applyNumberFormat="1" applyFont="1" applyFill="1" applyBorder="1" applyAlignment="1" applyProtection="1">
      <alignment horizontal="center" vertical="center"/>
      <protection locked="0"/>
    </xf>
    <xf numFmtId="0" fontId="15" fillId="2" borderId="1" xfId="3" applyFont="1" applyFill="1" applyBorder="1" applyAlignment="1" applyProtection="1">
      <alignment vertical="center"/>
      <protection locked="0"/>
    </xf>
    <xf numFmtId="0" fontId="12" fillId="0" borderId="0" xfId="2" applyFont="1" applyAlignment="1" applyProtection="1">
      <alignment vertical="center"/>
      <protection locked="0"/>
    </xf>
    <xf numFmtId="0" fontId="42" fillId="2" borderId="1" xfId="3" applyFont="1" applyFill="1" applyBorder="1" applyAlignment="1" applyProtection="1">
      <alignment horizontal="center" vertical="center"/>
      <protection locked="0"/>
    </xf>
    <xf numFmtId="171" fontId="42" fillId="2" borderId="1" xfId="3" applyNumberFormat="1" applyFont="1" applyFill="1" applyBorder="1" applyAlignment="1" applyProtection="1">
      <alignment horizontal="center" vertical="center"/>
      <protection locked="0"/>
    </xf>
    <xf numFmtId="177" fontId="10" fillId="0" borderId="0" xfId="0" applyNumberFormat="1" applyFont="1" applyAlignment="1" applyProtection="1">
      <alignment horizontal="left" vertical="center"/>
      <protection locked="0"/>
    </xf>
    <xf numFmtId="2" fontId="42" fillId="0" borderId="1" xfId="3" applyNumberFormat="1" applyFont="1" applyBorder="1" applyAlignment="1">
      <alignment horizontal="center" vertical="center"/>
    </xf>
    <xf numFmtId="0" fontId="42" fillId="0" borderId="1" xfId="3" applyFont="1" applyBorder="1" applyAlignment="1">
      <alignment horizontal="center" vertical="center"/>
    </xf>
    <xf numFmtId="178" fontId="12" fillId="2" borderId="44" xfId="3" quotePrefix="1" applyNumberFormat="1" applyFont="1" applyFill="1" applyBorder="1" applyAlignment="1" applyProtection="1">
      <alignment horizontal="center" vertical="center" wrapText="1"/>
      <protection hidden="1"/>
    </xf>
    <xf numFmtId="178" fontId="12" fillId="2" borderId="45" xfId="3" quotePrefix="1" applyNumberFormat="1" applyFont="1" applyFill="1" applyBorder="1" applyAlignment="1" applyProtection="1">
      <alignment horizontal="center" vertical="center" wrapText="1"/>
      <protection hidden="1"/>
    </xf>
    <xf numFmtId="11" fontId="24" fillId="2" borderId="0" xfId="0" applyNumberFormat="1" applyFont="1" applyFill="1" applyAlignment="1">
      <alignment horizontal="center" vertical="center"/>
    </xf>
    <xf numFmtId="0" fontId="24" fillId="3" borderId="0" xfId="0" applyFont="1" applyFill="1" applyAlignment="1">
      <alignment horizontal="center"/>
    </xf>
    <xf numFmtId="11" fontId="24" fillId="3" borderId="0" xfId="0" applyNumberFormat="1" applyFont="1" applyFill="1" applyAlignment="1">
      <alignment horizontal="center"/>
    </xf>
    <xf numFmtId="0" fontId="24" fillId="3" borderId="0" xfId="0" quotePrefix="1" applyFont="1" applyFill="1" applyAlignment="1">
      <alignment horizontal="left"/>
    </xf>
    <xf numFmtId="0" fontId="3" fillId="2" borderId="2" xfId="3" applyFill="1" applyBorder="1" applyAlignment="1">
      <alignment vertical="center"/>
    </xf>
    <xf numFmtId="0" fontId="15" fillId="0" borderId="4" xfId="2" applyFont="1" applyBorder="1" applyAlignment="1">
      <alignment vertical="center"/>
    </xf>
    <xf numFmtId="0" fontId="15" fillId="0" borderId="3" xfId="2" applyFont="1" applyBorder="1" applyAlignment="1">
      <alignment vertical="center"/>
    </xf>
    <xf numFmtId="0" fontId="15" fillId="0" borderId="3" xfId="2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5" fillId="0" borderId="3" xfId="2" applyFont="1" applyBorder="1" applyAlignment="1">
      <alignment horizontal="right" vertical="center"/>
    </xf>
    <xf numFmtId="17" fontId="10" fillId="0" borderId="5" xfId="0" applyNumberFormat="1" applyFont="1" applyBorder="1" applyAlignment="1">
      <alignment vertical="center"/>
    </xf>
    <xf numFmtId="0" fontId="10" fillId="0" borderId="0" xfId="2" applyFont="1" applyAlignment="1">
      <alignment vertical="center"/>
    </xf>
    <xf numFmtId="0" fontId="16" fillId="0" borderId="0" xfId="0" applyFont="1" applyAlignment="1" applyProtection="1">
      <alignment vertical="center"/>
      <protection locked="0"/>
    </xf>
    <xf numFmtId="0" fontId="10" fillId="0" borderId="0" xfId="2" applyFont="1" applyAlignment="1">
      <alignment horizontal="right" vertical="center"/>
    </xf>
    <xf numFmtId="177" fontId="10" fillId="0" borderId="22" xfId="0" applyNumberFormat="1" applyFont="1" applyBorder="1" applyAlignment="1" applyProtection="1">
      <alignment horizontal="left" vertical="center"/>
      <protection locked="0"/>
    </xf>
    <xf numFmtId="0" fontId="12" fillId="0" borderId="2" xfId="3" applyFont="1" applyBorder="1" applyAlignment="1">
      <alignment vertical="center"/>
    </xf>
    <xf numFmtId="0" fontId="58" fillId="9" borderId="1" xfId="3" applyFont="1" applyFill="1" applyBorder="1" applyAlignment="1" applyProtection="1">
      <alignment vertical="center"/>
      <protection locked="0"/>
    </xf>
    <xf numFmtId="180" fontId="10" fillId="0" borderId="0" xfId="0" applyNumberFormat="1" applyFont="1" applyAlignment="1" applyProtection="1">
      <alignment horizontal="left" vertical="center"/>
      <protection locked="0"/>
    </xf>
    <xf numFmtId="181" fontId="10" fillId="0" borderId="22" xfId="0" applyNumberFormat="1" applyFont="1" applyBorder="1" applyAlignment="1" applyProtection="1">
      <alignment horizontal="left" vertical="center"/>
      <protection locked="0"/>
    </xf>
    <xf numFmtId="0" fontId="4" fillId="0" borderId="62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34" fillId="0" borderId="63" xfId="0" applyFont="1" applyBorder="1" applyAlignment="1">
      <alignment vertical="center"/>
    </xf>
    <xf numFmtId="0" fontId="6" fillId="0" borderId="63" xfId="0" applyFont="1" applyBorder="1" applyAlignment="1" applyProtection="1">
      <alignment vertical="center"/>
      <protection hidden="1"/>
    </xf>
    <xf numFmtId="0" fontId="6" fillId="0" borderId="64" xfId="0" applyFont="1" applyBorder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4" fillId="0" borderId="65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6" fillId="0" borderId="66" xfId="0" applyFont="1" applyBorder="1" applyAlignment="1" applyProtection="1">
      <alignment vertical="center"/>
      <protection hidden="1"/>
    </xf>
    <xf numFmtId="0" fontId="5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8" fillId="0" borderId="0" xfId="0" applyFont="1" applyAlignment="1" applyProtection="1">
      <alignment vertical="center"/>
      <protection hidden="1"/>
    </xf>
    <xf numFmtId="17" fontId="10" fillId="0" borderId="3" xfId="0" applyNumberFormat="1" applyFont="1" applyBorder="1" applyAlignment="1">
      <alignment vertical="center"/>
    </xf>
    <xf numFmtId="0" fontId="19" fillId="0" borderId="61" xfId="2" applyFont="1" applyBorder="1" applyAlignment="1">
      <alignment horizontal="center" vertical="center"/>
    </xf>
    <xf numFmtId="0" fontId="6" fillId="0" borderId="3" xfId="0" applyFont="1" applyBorder="1" applyAlignment="1" applyProtection="1">
      <alignment vertical="center"/>
      <protection hidden="1"/>
    </xf>
    <xf numFmtId="0" fontId="19" fillId="0" borderId="3" xfId="3" applyFont="1" applyBorder="1" applyAlignment="1">
      <alignment vertical="center"/>
    </xf>
    <xf numFmtId="0" fontId="19" fillId="0" borderId="5" xfId="3" applyFont="1" applyBorder="1" applyAlignment="1">
      <alignment vertical="center"/>
    </xf>
    <xf numFmtId="0" fontId="12" fillId="0" borderId="1" xfId="3" applyFont="1" applyBorder="1" applyAlignment="1" applyProtection="1">
      <alignment horizontal="center" vertical="center"/>
      <protection locked="0"/>
    </xf>
    <xf numFmtId="0" fontId="12" fillId="0" borderId="61" xfId="3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vertical="center"/>
      <protection hidden="1"/>
    </xf>
    <xf numFmtId="0" fontId="12" fillId="0" borderId="0" xfId="0" applyFont="1" applyAlignment="1">
      <alignment horizontal="center" vertical="center"/>
    </xf>
    <xf numFmtId="0" fontId="6" fillId="0" borderId="2" xfId="0" applyFont="1" applyBorder="1" applyAlignment="1" applyProtection="1">
      <alignment vertical="center"/>
      <protection hidden="1"/>
    </xf>
    <xf numFmtId="169" fontId="12" fillId="0" borderId="61" xfId="3" applyNumberFormat="1" applyFont="1" applyBorder="1" applyAlignment="1">
      <alignment horizontal="center" vertical="center"/>
    </xf>
    <xf numFmtId="0" fontId="12" fillId="0" borderId="0" xfId="3" applyFont="1" applyAlignment="1" applyProtection="1">
      <alignment horizontal="center" vertical="center"/>
      <protection locked="0"/>
    </xf>
    <xf numFmtId="0" fontId="10" fillId="0" borderId="0" xfId="3" applyFont="1" applyAlignment="1" applyProtection="1">
      <alignment vertical="center"/>
      <protection locked="0"/>
    </xf>
    <xf numFmtId="0" fontId="10" fillId="0" borderId="19" xfId="3" applyFont="1" applyBorder="1" applyAlignment="1">
      <alignment horizontal="left" vertical="center"/>
    </xf>
    <xf numFmtId="0" fontId="10" fillId="0" borderId="0" xfId="3" applyFont="1" applyAlignment="1" applyProtection="1">
      <alignment horizontal="center" vertical="top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0" fontId="12" fillId="0" borderId="20" xfId="3" applyFont="1" applyBorder="1" applyAlignment="1">
      <alignment vertical="center"/>
    </xf>
    <xf numFmtId="0" fontId="12" fillId="0" borderId="21" xfId="3" applyFont="1" applyBorder="1" applyAlignment="1">
      <alignment vertical="center"/>
    </xf>
    <xf numFmtId="0" fontId="12" fillId="0" borderId="19" xfId="3" applyFont="1" applyBorder="1" applyAlignment="1">
      <alignment vertical="center"/>
    </xf>
    <xf numFmtId="0" fontId="61" fillId="0" borderId="0" xfId="2" applyFont="1" applyAlignment="1" applyProtection="1">
      <alignment vertical="center"/>
      <protection locked="0"/>
    </xf>
    <xf numFmtId="0" fontId="12" fillId="0" borderId="1" xfId="3" applyFont="1" applyBorder="1" applyAlignment="1">
      <alignment vertical="center"/>
    </xf>
    <xf numFmtId="0" fontId="10" fillId="0" borderId="21" xfId="3" applyFont="1" applyBorder="1" applyAlignment="1" applyProtection="1">
      <alignment horizontal="center" vertical="top"/>
      <protection locked="0"/>
    </xf>
    <xf numFmtId="0" fontId="10" fillId="0" borderId="19" xfId="3" applyFont="1" applyBorder="1" applyAlignment="1" applyProtection="1">
      <alignment horizontal="center" vertical="top"/>
      <protection locked="0"/>
    </xf>
    <xf numFmtId="0" fontId="10" fillId="0" borderId="0" xfId="2" applyFont="1" applyAlignment="1">
      <alignment horizontal="left" vertical="center" indent="1"/>
    </xf>
    <xf numFmtId="10" fontId="8" fillId="0" borderId="0" xfId="0" applyNumberFormat="1" applyFont="1" applyAlignment="1">
      <alignment horizontal="center" vertical="center" wrapText="1"/>
    </xf>
    <xf numFmtId="0" fontId="19" fillId="0" borderId="4" xfId="3" applyFont="1" applyBorder="1" applyAlignment="1">
      <alignment vertical="center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20" xfId="0" applyFont="1" applyBorder="1" applyAlignment="1" applyProtection="1">
      <alignment vertical="center"/>
      <protection hidden="1"/>
    </xf>
    <xf numFmtId="0" fontId="12" fillId="0" borderId="6" xfId="3" applyFont="1" applyBorder="1" applyAlignment="1">
      <alignment horizontal="left" vertical="center"/>
    </xf>
    <xf numFmtId="0" fontId="12" fillId="0" borderId="22" xfId="3" applyFont="1" applyBorder="1" applyAlignment="1">
      <alignment horizontal="center" vertical="center"/>
    </xf>
    <xf numFmtId="2" fontId="12" fillId="0" borderId="19" xfId="3" applyNumberFormat="1" applyFont="1" applyBorder="1" applyAlignment="1">
      <alignment horizontal="center" vertical="center"/>
    </xf>
    <xf numFmtId="169" fontId="12" fillId="0" borderId="0" xfId="3" applyNumberFormat="1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vertical="center"/>
      <protection hidden="1"/>
    </xf>
    <xf numFmtId="169" fontId="19" fillId="0" borderId="19" xfId="3" applyNumberFormat="1" applyFont="1" applyBorder="1" applyAlignment="1" applyProtection="1">
      <alignment vertical="center" wrapText="1"/>
      <protection hidden="1"/>
    </xf>
    <xf numFmtId="0" fontId="19" fillId="0" borderId="20" xfId="0" applyFont="1" applyBorder="1" applyAlignment="1" applyProtection="1">
      <alignment vertical="center"/>
      <protection hidden="1"/>
    </xf>
    <xf numFmtId="169" fontId="19" fillId="0" borderId="0" xfId="3" applyNumberFormat="1" applyFont="1" applyAlignment="1" applyProtection="1">
      <alignment vertical="center" wrapText="1"/>
      <protection hidden="1"/>
    </xf>
    <xf numFmtId="169" fontId="19" fillId="0" borderId="0" xfId="3" applyNumberFormat="1" applyFont="1" applyAlignment="1" applyProtection="1">
      <alignment horizontal="center" vertical="center" wrapText="1"/>
      <protection hidden="1"/>
    </xf>
    <xf numFmtId="0" fontId="15" fillId="0" borderId="2" xfId="0" applyFont="1" applyBorder="1" applyAlignment="1" applyProtection="1">
      <alignment vertical="center"/>
      <protection hidden="1"/>
    </xf>
    <xf numFmtId="0" fontId="7" fillId="0" borderId="20" xfId="0" applyFont="1" applyBorder="1" applyAlignment="1" applyProtection="1">
      <alignment vertical="center"/>
      <protection hidden="1"/>
    </xf>
    <xf numFmtId="0" fontId="12" fillId="0" borderId="19" xfId="3" applyFont="1" applyBorder="1" applyAlignment="1" applyProtection="1">
      <alignment horizontal="center" vertical="center"/>
      <protection locked="0"/>
    </xf>
    <xf numFmtId="0" fontId="12" fillId="0" borderId="19" xfId="0" applyFont="1" applyBorder="1" applyAlignment="1" applyProtection="1">
      <alignment horizontal="right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169" fontId="19" fillId="0" borderId="21" xfId="3" applyNumberFormat="1" applyFont="1" applyBorder="1" applyAlignment="1" applyProtection="1">
      <alignment vertical="center" wrapText="1"/>
      <protection hidden="1"/>
    </xf>
    <xf numFmtId="0" fontId="6" fillId="0" borderId="19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0" fillId="0" borderId="0" xfId="0" applyFont="1" applyProtection="1">
      <protection hidden="1"/>
    </xf>
    <xf numFmtId="0" fontId="19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23" xfId="0" applyFont="1" applyBorder="1" applyAlignment="1">
      <alignment horizontal="left" indent="1"/>
    </xf>
    <xf numFmtId="0" fontId="3" fillId="0" borderId="61" xfId="0" applyFont="1" applyBorder="1" applyAlignment="1">
      <alignment horizontal="left" indent="1"/>
    </xf>
    <xf numFmtId="0" fontId="4" fillId="0" borderId="0" xfId="0" applyFont="1"/>
    <xf numFmtId="0" fontId="0" fillId="0" borderId="61" xfId="0" applyBorder="1" applyAlignment="1">
      <alignment horizontal="left" indent="1"/>
    </xf>
    <xf numFmtId="16" fontId="0" fillId="0" borderId="61" xfId="0" applyNumberFormat="1" applyBorder="1" applyAlignment="1">
      <alignment horizontal="left" indent="1"/>
    </xf>
    <xf numFmtId="0" fontId="10" fillId="0" borderId="61" xfId="2" applyFont="1" applyBorder="1" applyAlignment="1">
      <alignment horizontal="left" vertical="center" indent="1"/>
    </xf>
    <xf numFmtId="0" fontId="10" fillId="0" borderId="24" xfId="2" applyFont="1" applyBorder="1" applyAlignment="1">
      <alignment horizontal="left" vertical="center" indent="1"/>
    </xf>
    <xf numFmtId="0" fontId="6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177" fontId="24" fillId="2" borderId="1" xfId="6" applyNumberFormat="1" applyFont="1" applyFill="1" applyBorder="1" applyAlignment="1">
      <alignment horizontal="center" vertical="center"/>
    </xf>
    <xf numFmtId="177" fontId="3" fillId="2" borderId="0" xfId="3" applyNumberFormat="1" applyFill="1" applyAlignment="1">
      <alignment horizontal="center"/>
    </xf>
    <xf numFmtId="177" fontId="3" fillId="2" borderId="0" xfId="3" applyNumberFormat="1" applyFill="1" applyAlignment="1">
      <alignment horizontal="center" vertical="center"/>
    </xf>
    <xf numFmtId="0" fontId="3" fillId="2" borderId="0" xfId="3" quotePrefix="1" applyFill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locked="0"/>
    </xf>
    <xf numFmtId="0" fontId="12" fillId="0" borderId="0" xfId="4" quotePrefix="1" applyFont="1" applyAlignment="1">
      <alignment horizontal="left" vertical="center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Protection="1">
      <protection hidden="1"/>
    </xf>
    <xf numFmtId="164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2" fillId="0" borderId="0" xfId="9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 applyProtection="1">
      <alignment horizontal="left" vertical="center"/>
      <protection hidden="1"/>
    </xf>
    <xf numFmtId="2" fontId="12" fillId="0" borderId="20" xfId="3" applyNumberFormat="1" applyFont="1" applyBorder="1" applyAlignment="1">
      <alignment horizontal="center" vertical="center"/>
    </xf>
    <xf numFmtId="2" fontId="12" fillId="0" borderId="19" xfId="3" applyNumberFormat="1" applyFont="1" applyBorder="1" applyAlignment="1">
      <alignment horizontal="center" vertical="center"/>
    </xf>
    <xf numFmtId="0" fontId="12" fillId="0" borderId="20" xfId="3" applyFont="1" applyBorder="1" applyAlignment="1">
      <alignment horizontal="center" vertical="center"/>
    </xf>
    <xf numFmtId="0" fontId="12" fillId="0" borderId="19" xfId="3" applyFont="1" applyBorder="1" applyAlignment="1">
      <alignment horizontal="center" vertical="center"/>
    </xf>
    <xf numFmtId="0" fontId="30" fillId="0" borderId="0" xfId="0" applyFont="1" applyAlignment="1" applyProtection="1">
      <alignment horizontal="center" vertical="top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9" fillId="0" borderId="20" xfId="2" applyFont="1" applyBorder="1" applyAlignment="1">
      <alignment horizontal="center" vertical="center"/>
    </xf>
    <xf numFmtId="0" fontId="19" fillId="0" borderId="21" xfId="2" applyFont="1" applyBorder="1" applyAlignment="1">
      <alignment horizontal="center" vertical="center"/>
    </xf>
    <xf numFmtId="0" fontId="19" fillId="0" borderId="19" xfId="2" applyFont="1" applyBorder="1" applyAlignment="1">
      <alignment horizontal="center" vertical="center"/>
    </xf>
    <xf numFmtId="169" fontId="12" fillId="0" borderId="20" xfId="3" applyNumberFormat="1" applyFont="1" applyBorder="1" applyAlignment="1">
      <alignment horizontal="center" vertical="center"/>
    </xf>
    <xf numFmtId="169" fontId="12" fillId="0" borderId="19" xfId="3" applyNumberFormat="1" applyFont="1" applyBorder="1" applyAlignment="1">
      <alignment horizontal="center" vertical="center"/>
    </xf>
    <xf numFmtId="0" fontId="12" fillId="0" borderId="1" xfId="3" applyFont="1" applyBorder="1" applyAlignment="1">
      <alignment horizontal="left" vertical="center" wrapText="1"/>
    </xf>
    <xf numFmtId="0" fontId="12" fillId="0" borderId="1" xfId="3" applyFont="1" applyBorder="1" applyAlignment="1">
      <alignment horizontal="center" vertical="center"/>
    </xf>
    <xf numFmtId="0" fontId="12" fillId="0" borderId="21" xfId="3" applyFont="1" applyBorder="1" applyAlignment="1">
      <alignment horizontal="center" vertical="center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19" fillId="0" borderId="1" xfId="2" applyFont="1" applyBorder="1" applyAlignment="1">
      <alignment horizontal="center" vertical="center"/>
    </xf>
    <xf numFmtId="0" fontId="19" fillId="10" borderId="20" xfId="2" applyFont="1" applyFill="1" applyBorder="1" applyAlignment="1">
      <alignment horizontal="center" vertical="center"/>
    </xf>
    <xf numFmtId="0" fontId="19" fillId="10" borderId="19" xfId="2" applyFont="1" applyFill="1" applyBorder="1" applyAlignment="1">
      <alignment horizontal="center" vertical="center"/>
    </xf>
    <xf numFmtId="0" fontId="19" fillId="10" borderId="1" xfId="2" applyFont="1" applyFill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 applyProtection="1">
      <alignment horizontal="center" vertical="center"/>
      <protection hidden="1"/>
    </xf>
    <xf numFmtId="0" fontId="59" fillId="0" borderId="20" xfId="0" applyFont="1" applyBorder="1" applyAlignment="1">
      <alignment horizontal="center" vertical="center"/>
    </xf>
    <xf numFmtId="0" fontId="59" fillId="0" borderId="19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47" fillId="0" borderId="0" xfId="4" quotePrefix="1" applyFont="1" applyAlignment="1">
      <alignment horizontal="left" vertical="center" wrapText="1"/>
    </xf>
    <xf numFmtId="0" fontId="12" fillId="0" borderId="0" xfId="4" quotePrefix="1" applyFont="1" applyAlignment="1">
      <alignment horizontal="left" vertical="center" wrapText="1"/>
    </xf>
    <xf numFmtId="0" fontId="10" fillId="0" borderId="0" xfId="0" applyFont="1" applyAlignment="1" applyProtection="1">
      <alignment horizontal="left" vertical="center" wrapText="1"/>
      <protection locked="0"/>
    </xf>
    <xf numFmtId="0" fontId="57" fillId="0" borderId="20" xfId="3" applyFont="1" applyBorder="1" applyAlignment="1">
      <alignment horizontal="left" vertical="center" wrapText="1"/>
    </xf>
    <xf numFmtId="0" fontId="57" fillId="0" borderId="21" xfId="3" applyFont="1" applyBorder="1" applyAlignment="1">
      <alignment horizontal="left" vertical="center" wrapText="1"/>
    </xf>
    <xf numFmtId="0" fontId="57" fillId="0" borderId="19" xfId="3" applyFont="1" applyBorder="1" applyAlignment="1">
      <alignment horizontal="left" vertical="center" wrapText="1"/>
    </xf>
    <xf numFmtId="179" fontId="18" fillId="0" borderId="0" xfId="0" applyNumberFormat="1" applyFont="1" applyAlignment="1" applyProtection="1">
      <alignment horizontal="center" vertical="center"/>
      <protection locked="0"/>
    </xf>
    <xf numFmtId="0" fontId="22" fillId="0" borderId="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19" fillId="0" borderId="20" xfId="2" applyFont="1" applyBorder="1" applyAlignment="1">
      <alignment horizontal="left" vertical="center"/>
    </xf>
    <xf numFmtId="0" fontId="19" fillId="0" borderId="21" xfId="2" applyFont="1" applyBorder="1" applyAlignment="1">
      <alignment horizontal="left" vertical="center"/>
    </xf>
    <xf numFmtId="0" fontId="19" fillId="0" borderId="19" xfId="2" applyFont="1" applyBorder="1" applyAlignment="1">
      <alignment horizontal="left" vertical="center"/>
    </xf>
    <xf numFmtId="0" fontId="12" fillId="0" borderId="20" xfId="3" applyFont="1" applyBorder="1" applyAlignment="1" applyProtection="1">
      <alignment horizontal="center" vertical="center"/>
      <protection locked="0"/>
    </xf>
    <xf numFmtId="0" fontId="12" fillId="0" borderId="21" xfId="3" applyFont="1" applyBorder="1" applyAlignment="1" applyProtection="1">
      <alignment horizontal="center" vertical="center"/>
      <protection locked="0"/>
    </xf>
    <xf numFmtId="169" fontId="19" fillId="0" borderId="1" xfId="3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17" fillId="0" borderId="6" xfId="2" applyFont="1" applyBorder="1" applyAlignment="1">
      <alignment horizontal="left" vertical="center" wrapText="1"/>
    </xf>
    <xf numFmtId="0" fontId="17" fillId="0" borderId="0" xfId="2" applyFont="1" applyAlignment="1">
      <alignment horizontal="left" vertical="center" wrapText="1"/>
    </xf>
    <xf numFmtId="0" fontId="17" fillId="0" borderId="22" xfId="2" applyFont="1" applyBorder="1" applyAlignment="1">
      <alignment horizontal="left" vertical="center" wrapText="1"/>
    </xf>
    <xf numFmtId="0" fontId="19" fillId="0" borderId="1" xfId="2" applyFont="1" applyBorder="1" applyAlignment="1" applyProtection="1">
      <alignment horizontal="center" vertical="center"/>
      <protection locked="0"/>
    </xf>
    <xf numFmtId="0" fontId="3" fillId="0" borderId="23" xfId="3" applyBorder="1" applyAlignment="1">
      <alignment horizontal="center" vertical="center"/>
    </xf>
    <xf numFmtId="0" fontId="3" fillId="0" borderId="61" xfId="3" applyBorder="1" applyAlignment="1">
      <alignment horizontal="center" vertical="center"/>
    </xf>
    <xf numFmtId="0" fontId="3" fillId="0" borderId="24" xfId="3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20" xfId="3" applyBorder="1" applyAlignment="1">
      <alignment horizontal="center" vertical="center"/>
    </xf>
    <xf numFmtId="0" fontId="3" fillId="0" borderId="21" xfId="3" applyBorder="1" applyAlignment="1">
      <alignment horizontal="center" vertical="center"/>
    </xf>
    <xf numFmtId="0" fontId="3" fillId="0" borderId="19" xfId="3" applyBorder="1" applyAlignment="1">
      <alignment horizontal="center" vertical="center"/>
    </xf>
    <xf numFmtId="0" fontId="19" fillId="0" borderId="23" xfId="3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/>
    </xf>
    <xf numFmtId="0" fontId="19" fillId="0" borderId="1" xfId="2" applyFont="1" applyBorder="1" applyAlignment="1">
      <alignment horizontal="center" vertical="center" wrapText="1"/>
    </xf>
    <xf numFmtId="0" fontId="39" fillId="7" borderId="20" xfId="3" applyFont="1" applyFill="1" applyBorder="1" applyAlignment="1" applyProtection="1">
      <alignment horizontal="center" vertical="center"/>
      <protection locked="0"/>
    </xf>
    <xf numFmtId="0" fontId="39" fillId="7" borderId="19" xfId="3" applyFont="1" applyFill="1" applyBorder="1" applyAlignment="1" applyProtection="1">
      <alignment horizontal="center" vertical="center"/>
      <protection locked="0"/>
    </xf>
    <xf numFmtId="0" fontId="29" fillId="2" borderId="1" xfId="6" applyFont="1" applyFill="1" applyBorder="1" applyAlignment="1">
      <alignment horizontal="center" vertical="center" wrapText="1"/>
    </xf>
    <xf numFmtId="0" fontId="28" fillId="2" borderId="1" xfId="6" applyFont="1" applyFill="1" applyBorder="1" applyAlignment="1">
      <alignment horizontal="center" vertical="center"/>
    </xf>
    <xf numFmtId="2" fontId="12" fillId="2" borderId="41" xfId="3" applyNumberFormat="1" applyFont="1" applyFill="1" applyBorder="1" applyAlignment="1">
      <alignment horizontal="center" vertical="center"/>
    </xf>
    <xf numFmtId="2" fontId="12" fillId="2" borderId="42" xfId="3" applyNumberFormat="1" applyFont="1" applyFill="1" applyBorder="1" applyAlignment="1">
      <alignment horizontal="center" vertical="center"/>
    </xf>
    <xf numFmtId="2" fontId="12" fillId="2" borderId="50" xfId="3" applyNumberFormat="1" applyFont="1" applyFill="1" applyBorder="1" applyAlignment="1">
      <alignment horizontal="left" vertical="center"/>
    </xf>
    <xf numFmtId="2" fontId="12" fillId="2" borderId="51" xfId="3" applyNumberFormat="1" applyFont="1" applyFill="1" applyBorder="1" applyAlignment="1">
      <alignment horizontal="left" vertical="center"/>
    </xf>
    <xf numFmtId="2" fontId="12" fillId="2" borderId="52" xfId="3" applyNumberFormat="1" applyFont="1" applyFill="1" applyBorder="1" applyAlignment="1">
      <alignment horizontal="left" vertical="center"/>
    </xf>
    <xf numFmtId="2" fontId="12" fillId="2" borderId="36" xfId="3" applyNumberFormat="1" applyFont="1" applyFill="1" applyBorder="1" applyAlignment="1">
      <alignment horizontal="center" vertical="center"/>
    </xf>
    <xf numFmtId="2" fontId="12" fillId="2" borderId="37" xfId="3" applyNumberFormat="1" applyFont="1" applyFill="1" applyBorder="1" applyAlignment="1">
      <alignment horizontal="center" vertical="center"/>
    </xf>
    <xf numFmtId="0" fontId="51" fillId="3" borderId="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left" vertical="center" wrapText="1"/>
    </xf>
    <xf numFmtId="0" fontId="22" fillId="3" borderId="0" xfId="5" applyFont="1" applyFill="1" applyAlignment="1">
      <alignment horizontal="center" vertical="center" wrapText="1"/>
    </xf>
    <xf numFmtId="0" fontId="3" fillId="2" borderId="0" xfId="3" applyFill="1" applyAlignment="1">
      <alignment horizontal="left" vertical="center" wrapText="1"/>
    </xf>
    <xf numFmtId="0" fontId="22" fillId="2" borderId="0" xfId="3" applyFont="1" applyFill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24" fillId="0" borderId="20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177" fontId="3" fillId="2" borderId="20" xfId="3" applyNumberFormat="1" applyFill="1" applyBorder="1" applyAlignment="1">
      <alignment horizontal="center" vertical="center"/>
    </xf>
    <xf numFmtId="177" fontId="3" fillId="2" borderId="19" xfId="3" applyNumberForma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35" fillId="2" borderId="2" xfId="3" applyFont="1" applyFill="1" applyBorder="1" applyAlignment="1">
      <alignment horizontal="center" vertical="center"/>
    </xf>
    <xf numFmtId="0" fontId="34" fillId="2" borderId="2" xfId="3" applyFont="1" applyFill="1" applyBorder="1" applyAlignment="1">
      <alignment horizontal="center" vertical="center"/>
    </xf>
    <xf numFmtId="0" fontId="3" fillId="2" borderId="0" xfId="3" applyFill="1" applyAlignment="1">
      <alignment horizontal="left" vertical="top" wrapText="1" indent="1"/>
    </xf>
    <xf numFmtId="0" fontId="4" fillId="5" borderId="25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4" fillId="2" borderId="20" xfId="3" applyFont="1" applyFill="1" applyBorder="1" applyAlignment="1">
      <alignment horizontal="center"/>
    </xf>
    <xf numFmtId="0" fontId="4" fillId="2" borderId="19" xfId="3" applyFont="1" applyFill="1" applyBorder="1" applyAlignment="1">
      <alignment horizontal="center"/>
    </xf>
    <xf numFmtId="173" fontId="3" fillId="2" borderId="1" xfId="4" applyNumberFormat="1" applyFill="1" applyBorder="1" applyAlignment="1">
      <alignment horizontal="center" vertical="center"/>
    </xf>
    <xf numFmtId="0" fontId="3" fillId="2" borderId="1" xfId="4" applyFill="1" applyBorder="1" applyAlignment="1">
      <alignment horizontal="center" vertical="center"/>
    </xf>
    <xf numFmtId="173" fontId="3" fillId="2" borderId="20" xfId="0" applyNumberFormat="1" applyFont="1" applyFill="1" applyBorder="1" applyAlignment="1">
      <alignment horizontal="center" vertical="center"/>
    </xf>
    <xf numFmtId="173" fontId="3" fillId="2" borderId="21" xfId="0" applyNumberFormat="1" applyFont="1" applyFill="1" applyBorder="1" applyAlignment="1">
      <alignment horizontal="center" vertical="center"/>
    </xf>
    <xf numFmtId="173" fontId="3" fillId="2" borderId="19" xfId="0" applyNumberFormat="1" applyFont="1" applyFill="1" applyBorder="1" applyAlignment="1">
      <alignment horizontal="center" vertical="center"/>
    </xf>
    <xf numFmtId="173" fontId="3" fillId="2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173" fontId="3" fillId="0" borderId="1" xfId="0" applyNumberFormat="1" applyFont="1" applyBorder="1" applyAlignment="1">
      <alignment horizontal="center" vertical="center"/>
    </xf>
    <xf numFmtId="0" fontId="3" fillId="2" borderId="0" xfId="3" quotePrefix="1" applyFill="1" applyAlignment="1" applyProtection="1">
      <alignment horizontal="center" vertical="center"/>
      <protection hidden="1"/>
    </xf>
    <xf numFmtId="2" fontId="3" fillId="0" borderId="1" xfId="0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175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0">
    <cellStyle name="Hipervínculo" xfId="9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2 3" xfId="7" xr:uid="{00000000-0005-0000-0000-000003000000}"/>
    <cellStyle name="Normal 3" xfId="8" xr:uid="{00000000-0005-0000-0000-000004000000}"/>
    <cellStyle name="Normal 4" xfId="1" xr:uid="{00000000-0005-0000-0000-000005000000}"/>
    <cellStyle name="Normal 6" xfId="6" xr:uid="{00000000-0005-0000-0000-000006000000}"/>
    <cellStyle name="Normal_ENSAYOS" xfId="2" xr:uid="{00000000-0005-0000-0000-000007000000}"/>
    <cellStyle name="Normal_Produc. 07-09-99 2" xfId="5" xr:uid="{00000000-0005-0000-0000-000008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Grafico para</a:t>
            </a:r>
            <a:r>
              <a:rPr lang="en-US" baseline="0"/>
              <a:t> Correccion de la densidad de Agua</a:t>
            </a:r>
            <a:endParaRPr lang="en-US"/>
          </a:p>
        </c:rich>
      </c:tx>
      <c:layout>
        <c:manualLayout>
          <c:xMode val="edge"/>
          <c:yMode val="edge"/>
          <c:x val="0.10206233595800525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045603674540683"/>
          <c:y val="0.19949074074074077"/>
          <c:w val="0.57082152230971128"/>
          <c:h val="0.5949383931175270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443307086614173"/>
                  <c:y val="-0.572025736366287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Molde!$I$5:$I$11</c:f>
              <c:numCache>
                <c:formatCode>General</c:formatCode>
                <c:ptCount val="7"/>
                <c:pt idx="0">
                  <c:v>15.6</c:v>
                </c:pt>
                <c:pt idx="1">
                  <c:v>18.3</c:v>
                </c:pt>
                <c:pt idx="2">
                  <c:v>21.1</c:v>
                </c:pt>
                <c:pt idx="3">
                  <c:v>23</c:v>
                </c:pt>
                <c:pt idx="4">
                  <c:v>23.9</c:v>
                </c:pt>
                <c:pt idx="5">
                  <c:v>26.7</c:v>
                </c:pt>
                <c:pt idx="6">
                  <c:v>29.4</c:v>
                </c:pt>
              </c:numCache>
            </c:numRef>
          </c:xVal>
          <c:yVal>
            <c:numRef>
              <c:f>Molde!$J$5:$J$11</c:f>
              <c:numCache>
                <c:formatCode>General</c:formatCode>
                <c:ptCount val="7"/>
                <c:pt idx="0">
                  <c:v>999.01</c:v>
                </c:pt>
                <c:pt idx="1">
                  <c:v>998.54</c:v>
                </c:pt>
                <c:pt idx="2">
                  <c:v>997.97</c:v>
                </c:pt>
                <c:pt idx="3">
                  <c:v>997.54</c:v>
                </c:pt>
                <c:pt idx="4">
                  <c:v>997.32</c:v>
                </c:pt>
                <c:pt idx="5">
                  <c:v>996.59</c:v>
                </c:pt>
                <c:pt idx="6">
                  <c:v>995.83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1E-42FE-BAA0-B1C58FBB9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05376"/>
        <c:axId val="142012416"/>
      </c:scatterChart>
      <c:valAx>
        <c:axId val="142005376"/>
        <c:scaling>
          <c:orientation val="minMax"/>
          <c:max val="32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Temperatura del agua °C</a:t>
                </a:r>
              </a:p>
            </c:rich>
          </c:tx>
          <c:layout>
            <c:manualLayout>
              <c:xMode val="edge"/>
              <c:yMode val="edge"/>
              <c:x val="0.29143613298337706"/>
              <c:y val="0.9157174103237095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2012416"/>
        <c:crosses val="autoZero"/>
        <c:crossBetween val="midCat"/>
      </c:valAx>
      <c:valAx>
        <c:axId val="14201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del agua Kg/m</a:t>
                </a:r>
                <a:r>
                  <a:rPr lang="en-US" baseline="30000"/>
                  <a:t>3</a:t>
                </a:r>
              </a:p>
            </c:rich>
          </c:tx>
          <c:layout>
            <c:manualLayout>
              <c:xMode val="edge"/>
              <c:yMode val="edge"/>
              <c:x val="5.2777777777777778E-2"/>
              <c:y val="0.270431977252843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2005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50</xdr:row>
      <xdr:rowOff>7620</xdr:rowOff>
    </xdr:from>
    <xdr:to>
      <xdr:col>12</xdr:col>
      <xdr:colOff>885825</xdr:colOff>
      <xdr:row>50</xdr:row>
      <xdr:rowOff>7620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5650C893-E49C-44DD-8672-06115EE7D119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0837545"/>
          <a:ext cx="667893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</xdr:col>
      <xdr:colOff>28575</xdr:colOff>
      <xdr:row>39</xdr:row>
      <xdr:rowOff>166817</xdr:rowOff>
    </xdr:from>
    <xdr:to>
      <xdr:col>6</xdr:col>
      <xdr:colOff>847725</xdr:colOff>
      <xdr:row>44</xdr:row>
      <xdr:rowOff>3927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05C3D8-E6DF-4DB0-BDF5-1E6BE5455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253542"/>
          <a:ext cx="3095625" cy="10848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57150</xdr:colOff>
      <xdr:row>46</xdr:row>
      <xdr:rowOff>131446</xdr:rowOff>
    </xdr:from>
    <xdr:to>
      <xdr:col>7</xdr:col>
      <xdr:colOff>68579</xdr:colOff>
      <xdr:row>48</xdr:row>
      <xdr:rowOff>104776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2F5AF857-9ED2-46DE-B33A-A4581EFF6668}"/>
            </a:ext>
          </a:extLst>
        </xdr:cNvPr>
        <xdr:cNvSpPr txBox="1"/>
      </xdr:nvSpPr>
      <xdr:spPr>
        <a:xfrm>
          <a:off x="1752600" y="9875521"/>
          <a:ext cx="1992629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325754</xdr:colOff>
      <xdr:row>46</xdr:row>
      <xdr:rowOff>123825</xdr:rowOff>
    </xdr:from>
    <xdr:to>
      <xdr:col>12</xdr:col>
      <xdr:colOff>40004</xdr:colOff>
      <xdr:row>48</xdr:row>
      <xdr:rowOff>97725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D5A594E9-285D-4BE9-A388-6A8CA1F5941D}"/>
            </a:ext>
          </a:extLst>
        </xdr:cNvPr>
        <xdr:cNvSpPr txBox="1"/>
      </xdr:nvSpPr>
      <xdr:spPr>
        <a:xfrm>
          <a:off x="4002404" y="9867900"/>
          <a:ext cx="1990725" cy="774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390525</xdr:colOff>
      <xdr:row>0</xdr:row>
      <xdr:rowOff>47625</xdr:rowOff>
    </xdr:from>
    <xdr:to>
      <xdr:col>7</xdr:col>
      <xdr:colOff>473529</xdr:colOff>
      <xdr:row>4</xdr:row>
      <xdr:rowOff>161925</xdr:rowOff>
    </xdr:to>
    <xdr:pic>
      <xdr:nvPicPr>
        <xdr:cNvPr id="7" name="Imagen 7">
          <a:extLst>
            <a:ext uri="{FF2B5EF4-FFF2-40B4-BE49-F238E27FC236}">
              <a16:creationId xmlns:a16="http://schemas.microsoft.com/office/drawing/2014/main" id="{A6CB1F08-379E-2AAE-BDCF-579AB3739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47625"/>
          <a:ext cx="1540329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487680</xdr:colOff>
      <xdr:row>54</xdr:row>
      <xdr:rowOff>17145</xdr:rowOff>
    </xdr:from>
    <xdr:to>
      <xdr:col>6</xdr:col>
      <xdr:colOff>783960</xdr:colOff>
      <xdr:row>57</xdr:row>
      <xdr:rowOff>22414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E3E0200-64B4-447E-A873-7DB2D5C457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055620" y="9382125"/>
          <a:ext cx="1385940" cy="1049208"/>
        </a:xfrm>
        <a:prstGeom prst="rect">
          <a:avLst/>
        </a:prstGeom>
      </xdr:spPr>
    </xdr:pic>
    <xdr:clientData/>
  </xdr:twoCellAnchor>
  <xdr:twoCellAnchor>
    <xdr:from>
      <xdr:col>7</xdr:col>
      <xdr:colOff>923589</xdr:colOff>
      <xdr:row>54</xdr:row>
      <xdr:rowOff>92481</xdr:rowOff>
    </xdr:from>
    <xdr:to>
      <xdr:col>9</xdr:col>
      <xdr:colOff>855327</xdr:colOff>
      <xdr:row>57</xdr:row>
      <xdr:rowOff>406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B3489796-D33A-4A04-89F0-BE8A7BD75277}"/>
            </a:ext>
          </a:extLst>
        </xdr:cNvPr>
        <xdr:cNvSpPr/>
      </xdr:nvSpPr>
      <xdr:spPr bwMode="auto">
        <a:xfrm>
          <a:off x="5543214" y="9836556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6</xdr:col>
      <xdr:colOff>914400</xdr:colOff>
      <xdr:row>54</xdr:row>
      <xdr:rowOff>30480</xdr:rowOff>
    </xdr:from>
    <xdr:to>
      <xdr:col>7</xdr:col>
      <xdr:colOff>914453</xdr:colOff>
      <xdr:row>57</xdr:row>
      <xdr:rowOff>82014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32BC630-002D-4E30-8BC7-7F995810D2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572000" y="96240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289560</xdr:colOff>
      <xdr:row>53</xdr:row>
      <xdr:rowOff>152400</xdr:rowOff>
    </xdr:from>
    <xdr:to>
      <xdr:col>17</xdr:col>
      <xdr:colOff>101691</xdr:colOff>
      <xdr:row>58</xdr:row>
      <xdr:rowOff>68273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B48FE78-2628-4F88-9DD8-C7993F1A9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8680" y="934212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304800</xdr:colOff>
      <xdr:row>27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814916</xdr:colOff>
      <xdr:row>11</xdr:row>
      <xdr:rowOff>116417</xdr:rowOff>
    </xdr:from>
    <xdr:to>
      <xdr:col>7</xdr:col>
      <xdr:colOff>341690</xdr:colOff>
      <xdr:row>13</xdr:row>
      <xdr:rowOff>67703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249" y="2804584"/>
          <a:ext cx="1209524" cy="24761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762001</xdr:colOff>
      <xdr:row>14</xdr:row>
      <xdr:rowOff>10583</xdr:rowOff>
    </xdr:from>
    <xdr:to>
      <xdr:col>9</xdr:col>
      <xdr:colOff>742537</xdr:colOff>
      <xdr:row>15</xdr:row>
      <xdr:rowOff>96273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4334" y="3143250"/>
          <a:ext cx="3314286" cy="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74083</xdr:colOff>
      <xdr:row>28</xdr:row>
      <xdr:rowOff>95249</xdr:rowOff>
    </xdr:from>
    <xdr:to>
      <xdr:col>3</xdr:col>
      <xdr:colOff>335778</xdr:colOff>
      <xdr:row>37</xdr:row>
      <xdr:rowOff>148165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320" b="5835"/>
        <a:stretch/>
      </xdr:blipFill>
      <xdr:spPr>
        <a:xfrm>
          <a:off x="74083" y="5640916"/>
          <a:ext cx="3680112" cy="1714500"/>
        </a:xfrm>
        <a:prstGeom prst="rect">
          <a:avLst/>
        </a:prstGeom>
      </xdr:spPr>
    </xdr:pic>
    <xdr:clientData/>
  </xdr:twoCellAnchor>
  <xdr:twoCellAnchor>
    <xdr:from>
      <xdr:col>0</xdr:col>
      <xdr:colOff>423333</xdr:colOff>
      <xdr:row>0</xdr:row>
      <xdr:rowOff>42334</xdr:rowOff>
    </xdr:from>
    <xdr:to>
      <xdr:col>0</xdr:col>
      <xdr:colOff>1375833</xdr:colOff>
      <xdr:row>3</xdr:row>
      <xdr:rowOff>140826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B213812C-21EA-4007-BF41-A5E1924DE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3" y="42334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</xdr:row>
      <xdr:rowOff>114300</xdr:rowOff>
    </xdr:from>
    <xdr:to>
      <xdr:col>6</xdr:col>
      <xdr:colOff>723900</xdr:colOff>
      <xdr:row>10</xdr:row>
      <xdr:rowOff>180975</xdr:rowOff>
    </xdr:to>
    <xdr:pic>
      <xdr:nvPicPr>
        <xdr:cNvPr id="2" name="Imagen 1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600075"/>
          <a:ext cx="4333875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704850</xdr:colOff>
      <xdr:row>2</xdr:row>
      <xdr:rowOff>123825</xdr:rowOff>
    </xdr:from>
    <xdr:to>
      <xdr:col>13</xdr:col>
      <xdr:colOff>704850</xdr:colOff>
      <xdr:row>15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2</xdr:row>
      <xdr:rowOff>57150</xdr:rowOff>
    </xdr:from>
    <xdr:to>
      <xdr:col>8</xdr:col>
      <xdr:colOff>658126</xdr:colOff>
      <xdr:row>6</xdr:row>
      <xdr:rowOff>9605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FFE59A-8390-B421-D038-B2A41574F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381000"/>
          <a:ext cx="6458851" cy="571580"/>
        </a:xfrm>
        <a:prstGeom prst="rect">
          <a:avLst/>
        </a:prstGeom>
      </xdr:spPr>
    </xdr:pic>
    <xdr:clientData/>
  </xdr:twoCellAnchor>
  <xdr:twoCellAnchor editAs="oneCell">
    <xdr:from>
      <xdr:col>11</xdr:col>
      <xdr:colOff>590550</xdr:colOff>
      <xdr:row>1</xdr:row>
      <xdr:rowOff>133350</xdr:rowOff>
    </xdr:from>
    <xdr:to>
      <xdr:col>22</xdr:col>
      <xdr:colOff>277351</xdr:colOff>
      <xdr:row>6</xdr:row>
      <xdr:rowOff>66775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16C675-716B-7A04-0A80-33E36CDA6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58300" y="295275"/>
          <a:ext cx="8068801" cy="714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6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uario/Dropbox/4.0%20Formato%20y%20Certificado%20Laboratorio/VERSION%202%20YACKELIN/Informes%20de%20ensayo%20con%20incertidumbre/1-%20Informe%20N&#176;%20001-21%20AG23%20QUE%20PASA%20TAMIZ%20N&#176;200%20ASTM%20C117_IN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\2013\07-JULIO\ARENAS%20CONSTRUCTORA\DISE&#209;O%20DE%20MEZCLA\AGREGADO\Grav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"/>
      <sheetName val="G_E"/>
      <sheetName val="PU-S"/>
      <sheetName val="PU-C"/>
      <sheetName val="% que pasa # 200"/>
      <sheetName val="D_S"/>
      <sheetName val="&gt; Tamiz 200"/>
      <sheetName val="Incertidumbre"/>
      <sheetName val="Balanza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C3">
            <v>0</v>
          </cell>
          <cell r="L3">
            <v>0</v>
          </cell>
        </row>
        <row r="4">
          <cell r="C4">
            <v>4.54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EEBF-3ACB-46DD-8C55-913F79528E63}">
  <sheetPr>
    <pageSetUpPr fitToPage="1"/>
  </sheetPr>
  <dimension ref="A1:Q53"/>
  <sheetViews>
    <sheetView showGridLines="0" view="pageBreakPreview" zoomScaleNormal="100" zoomScaleSheetLayoutView="100" workbookViewId="0">
      <selection activeCell="T12" sqref="T12"/>
    </sheetView>
  </sheetViews>
  <sheetFormatPr baseColWidth="10" defaultColWidth="10.28515625" defaultRowHeight="15" x14ac:dyDescent="0.2"/>
  <cols>
    <col min="1" max="1" width="2.7109375" style="456" customWidth="1"/>
    <col min="2" max="2" width="3.28515625" style="456" customWidth="1"/>
    <col min="3" max="4" width="9.7109375" style="456" customWidth="1"/>
    <col min="5" max="5" width="7.85546875" style="456" customWidth="1"/>
    <col min="6" max="6" width="6.85546875" style="456" customWidth="1"/>
    <col min="7" max="7" width="15" style="456" customWidth="1"/>
    <col min="8" max="8" width="12.28515625" style="456" customWidth="1"/>
    <col min="9" max="9" width="4.42578125" style="456" customWidth="1"/>
    <col min="10" max="10" width="3.5703125" style="456" customWidth="1"/>
    <col min="11" max="11" width="12" style="456" customWidth="1"/>
    <col min="12" max="12" width="1.85546875" style="456" customWidth="1"/>
    <col min="13" max="13" width="11.28515625" style="456" customWidth="1"/>
    <col min="14" max="14" width="6.42578125" style="456" customWidth="1"/>
    <col min="15" max="15" width="8" style="456" customWidth="1"/>
    <col min="16" max="17" width="10.7109375" style="456" customWidth="1"/>
    <col min="18" max="16384" width="10.28515625" style="456"/>
  </cols>
  <sheetData>
    <row r="1" spans="1:17" ht="15.75" customHeight="1" thickTop="1" x14ac:dyDescent="0.2">
      <c r="A1" s="451"/>
      <c r="B1" s="452"/>
      <c r="C1" s="452"/>
      <c r="D1" s="453"/>
      <c r="E1" s="453"/>
      <c r="F1" s="453"/>
      <c r="G1" s="453"/>
      <c r="H1" s="453"/>
      <c r="I1" s="453"/>
      <c r="J1" s="454"/>
      <c r="K1" s="454"/>
      <c r="L1" s="454"/>
      <c r="M1" s="455"/>
    </row>
    <row r="2" spans="1:17" ht="15.75" customHeight="1" x14ac:dyDescent="0.2">
      <c r="A2" s="457"/>
      <c r="B2" s="282"/>
      <c r="C2" s="282"/>
      <c r="D2" s="458"/>
      <c r="E2" s="458"/>
      <c r="F2" s="458"/>
      <c r="G2" s="458"/>
      <c r="H2" s="458"/>
      <c r="I2" s="458"/>
      <c r="M2" s="459"/>
      <c r="P2" s="346" t="s">
        <v>1</v>
      </c>
      <c r="Q2" s="516"/>
    </row>
    <row r="3" spans="1:17" ht="15.75" customHeight="1" x14ac:dyDescent="0.2">
      <c r="A3" s="457"/>
      <c r="B3" s="282"/>
      <c r="C3" s="282"/>
      <c r="D3" s="458"/>
      <c r="E3" s="458"/>
      <c r="F3" s="458"/>
      <c r="G3" s="458"/>
      <c r="H3" s="458"/>
      <c r="I3" s="458"/>
      <c r="M3" s="459"/>
      <c r="P3" s="346" t="s">
        <v>5</v>
      </c>
      <c r="Q3" s="517"/>
    </row>
    <row r="4" spans="1:17" ht="15.75" customHeight="1" x14ac:dyDescent="0.2">
      <c r="A4" s="457"/>
      <c r="B4" s="282"/>
      <c r="C4" s="282"/>
      <c r="D4" s="458"/>
      <c r="E4" s="458"/>
      <c r="F4" s="458"/>
      <c r="G4" s="458"/>
      <c r="H4" s="458"/>
      <c r="I4" s="458"/>
      <c r="M4" s="459"/>
      <c r="P4" s="346" t="s">
        <v>6</v>
      </c>
      <c r="Q4" s="517"/>
    </row>
    <row r="5" spans="1:17" ht="15.75" customHeight="1" thickBot="1" x14ac:dyDescent="0.25">
      <c r="A5" s="460"/>
      <c r="B5" s="461"/>
      <c r="C5" s="461"/>
      <c r="D5" s="461"/>
      <c r="E5" s="461"/>
      <c r="F5" s="461"/>
      <c r="G5" s="461"/>
      <c r="H5" s="461"/>
      <c r="I5" s="461"/>
      <c r="J5" s="461"/>
      <c r="K5" s="461"/>
      <c r="L5" s="461"/>
      <c r="M5" s="462"/>
      <c r="P5" s="346" t="s">
        <v>8</v>
      </c>
      <c r="Q5" s="517"/>
    </row>
    <row r="6" spans="1:17" ht="7.5" customHeight="1" thickTop="1" x14ac:dyDescent="0.2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P6" s="518"/>
      <c r="Q6" s="519"/>
    </row>
    <row r="7" spans="1:17" ht="15.95" customHeight="1" x14ac:dyDescent="0.2">
      <c r="A7" s="565" t="s">
        <v>0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5"/>
      <c r="P7" s="70" t="s">
        <v>234</v>
      </c>
      <c r="Q7" s="519"/>
    </row>
    <row r="8" spans="1:17" ht="15.95" customHeight="1" x14ac:dyDescent="0.2">
      <c r="A8" s="566" t="s">
        <v>244</v>
      </c>
      <c r="B8" s="566"/>
      <c r="C8" s="566"/>
      <c r="D8" s="566"/>
      <c r="E8" s="566"/>
      <c r="F8" s="566"/>
      <c r="G8" s="566"/>
      <c r="H8" s="566"/>
      <c r="I8" s="566"/>
      <c r="J8" s="566"/>
      <c r="K8" s="566"/>
      <c r="L8" s="566"/>
      <c r="M8" s="566"/>
      <c r="P8" s="70" t="s">
        <v>289</v>
      </c>
      <c r="Q8" s="520"/>
    </row>
    <row r="9" spans="1:17" ht="15.95" customHeight="1" x14ac:dyDescent="0.2">
      <c r="A9" s="463"/>
      <c r="B9" s="463"/>
      <c r="C9" s="463"/>
      <c r="D9" s="463"/>
      <c r="E9" s="463"/>
      <c r="F9" s="463"/>
      <c r="G9" s="463"/>
      <c r="H9" s="463"/>
      <c r="I9" s="463"/>
      <c r="J9" s="463"/>
      <c r="K9" s="463"/>
      <c r="L9" s="463"/>
      <c r="M9" s="463"/>
      <c r="P9" s="70" t="s">
        <v>290</v>
      </c>
      <c r="Q9" s="519"/>
    </row>
    <row r="10" spans="1:17" ht="15.95" customHeight="1" x14ac:dyDescent="0.2">
      <c r="A10" s="463"/>
      <c r="B10" s="463"/>
      <c r="C10" s="567" t="s">
        <v>245</v>
      </c>
      <c r="D10" s="568"/>
      <c r="E10" s="567" t="s">
        <v>246</v>
      </c>
      <c r="F10" s="568"/>
      <c r="G10" s="569" t="s">
        <v>247</v>
      </c>
      <c r="H10" s="569"/>
      <c r="I10" s="569" t="s">
        <v>248</v>
      </c>
      <c r="J10" s="569"/>
      <c r="K10" s="569"/>
      <c r="L10"/>
      <c r="M10"/>
      <c r="P10" s="518"/>
      <c r="Q10" s="519"/>
    </row>
    <row r="11" spans="1:17" ht="15.95" customHeight="1" x14ac:dyDescent="0.2">
      <c r="A11" s="463"/>
      <c r="B11" s="463"/>
      <c r="C11" s="561"/>
      <c r="D11" s="562"/>
      <c r="E11" s="561"/>
      <c r="F11" s="562"/>
      <c r="G11" s="563"/>
      <c r="H11" s="563"/>
      <c r="I11" s="563"/>
      <c r="J11" s="563"/>
      <c r="K11" s="563"/>
      <c r="L11"/>
      <c r="M11"/>
      <c r="P11" s="70" t="s">
        <v>13</v>
      </c>
      <c r="Q11" s="519"/>
    </row>
    <row r="12" spans="1:17" ht="15.95" customHeight="1" x14ac:dyDescent="0.2">
      <c r="B12" s="564"/>
      <c r="C12" s="564"/>
      <c r="D12" s="564"/>
      <c r="E12" s="564"/>
      <c r="F12" s="564"/>
      <c r="G12" s="564"/>
      <c r="H12" s="564"/>
      <c r="I12" s="564"/>
      <c r="J12" s="564"/>
      <c r="K12" s="564"/>
      <c r="L12" s="564"/>
      <c r="M12" s="464"/>
      <c r="N12" s="465"/>
      <c r="O12" s="465"/>
      <c r="P12" s="70" t="s">
        <v>15</v>
      </c>
      <c r="Q12" s="520"/>
    </row>
    <row r="13" spans="1:17" ht="15" customHeight="1" x14ac:dyDescent="0.2">
      <c r="A13" s="554" t="s">
        <v>249</v>
      </c>
      <c r="B13" s="555"/>
      <c r="C13" s="555"/>
      <c r="D13" s="555"/>
      <c r="E13" s="555"/>
      <c r="F13" s="555"/>
      <c r="G13" s="555"/>
      <c r="H13" s="555"/>
      <c r="I13" s="555"/>
      <c r="J13" s="555"/>
      <c r="K13" s="555"/>
      <c r="L13" s="555"/>
      <c r="M13" s="556"/>
      <c r="N13" s="465"/>
      <c r="O13" s="465"/>
      <c r="P13" s="70" t="s">
        <v>17</v>
      </c>
      <c r="Q13" s="520"/>
    </row>
    <row r="14" spans="1:17" ht="18" customHeight="1" x14ac:dyDescent="0.2">
      <c r="A14" s="557" t="s">
        <v>235</v>
      </c>
      <c r="B14" s="558"/>
      <c r="C14" s="558"/>
      <c r="D14" s="558"/>
      <c r="E14" s="558"/>
      <c r="F14" s="558"/>
      <c r="G14" s="558"/>
      <c r="H14" s="558"/>
      <c r="I14" s="558"/>
      <c r="J14" s="558"/>
      <c r="K14" s="558"/>
      <c r="L14" s="558"/>
      <c r="M14" s="559"/>
      <c r="N14" s="465"/>
      <c r="O14" s="465"/>
      <c r="P14" s="518"/>
      <c r="Q14" s="519"/>
    </row>
    <row r="15" spans="1:17" ht="6.75" customHeight="1" x14ac:dyDescent="0.2">
      <c r="A15" s="438"/>
      <c r="B15" s="439"/>
      <c r="C15" s="440"/>
      <c r="D15" s="440"/>
      <c r="E15" s="440"/>
      <c r="F15" s="440"/>
      <c r="G15" s="440"/>
      <c r="H15" s="440"/>
      <c r="I15" s="440"/>
      <c r="J15" s="441"/>
      <c r="K15" s="441"/>
      <c r="L15" s="439"/>
      <c r="M15" s="466"/>
      <c r="N15" s="465"/>
      <c r="O15" s="465"/>
      <c r="P15" s="70" t="s">
        <v>291</v>
      </c>
      <c r="Q15" s="521"/>
    </row>
    <row r="16" spans="1:17" ht="15.95" customHeight="1" x14ac:dyDescent="0.2">
      <c r="C16" s="546" t="s">
        <v>250</v>
      </c>
      <c r="D16" s="547"/>
      <c r="E16" s="547"/>
      <c r="F16" s="547"/>
      <c r="G16" s="547"/>
      <c r="H16" s="548"/>
      <c r="I16" s="467"/>
      <c r="J16" s="560" t="s">
        <v>251</v>
      </c>
      <c r="K16" s="560"/>
      <c r="L16" s="560"/>
      <c r="M16" s="560"/>
      <c r="O16" s="465"/>
      <c r="P16" s="70" t="s">
        <v>14</v>
      </c>
      <c r="Q16" s="521"/>
    </row>
    <row r="17" spans="2:17" ht="20.25" customHeight="1" x14ac:dyDescent="0.2">
      <c r="B17" s="151" t="s">
        <v>252</v>
      </c>
      <c r="C17" s="153" t="s">
        <v>21</v>
      </c>
      <c r="D17" s="468"/>
      <c r="E17" s="469"/>
      <c r="F17" s="470"/>
      <c r="G17" s="151"/>
      <c r="H17" s="471" t="s">
        <v>22</v>
      </c>
      <c r="I17" s="472"/>
      <c r="J17" s="542" t="s">
        <v>253</v>
      </c>
      <c r="K17" s="543"/>
      <c r="L17" s="536"/>
      <c r="M17" s="536"/>
      <c r="O17" s="465"/>
      <c r="P17" s="70" t="s">
        <v>292</v>
      </c>
      <c r="Q17" s="522"/>
    </row>
    <row r="18" spans="2:17" ht="20.25" customHeight="1" x14ac:dyDescent="0.2">
      <c r="B18" s="151" t="s">
        <v>254</v>
      </c>
      <c r="C18" s="163" t="s">
        <v>23</v>
      </c>
      <c r="D18" s="473"/>
      <c r="E18" s="164"/>
      <c r="F18" s="165"/>
      <c r="G18" s="151"/>
      <c r="H18" s="165" t="s">
        <v>24</v>
      </c>
      <c r="I18" s="472"/>
      <c r="J18" s="542" t="s">
        <v>255</v>
      </c>
      <c r="K18" s="543"/>
      <c r="L18" s="536"/>
      <c r="M18" s="536"/>
      <c r="O18" s="465"/>
      <c r="P18" s="474"/>
    </row>
    <row r="19" spans="2:17" ht="20.25" customHeight="1" x14ac:dyDescent="0.2">
      <c r="B19" s="151" t="s">
        <v>256</v>
      </c>
      <c r="C19" s="159" t="s">
        <v>25</v>
      </c>
      <c r="D19" s="475"/>
      <c r="E19" s="95"/>
      <c r="F19" s="168"/>
      <c r="G19" s="151"/>
      <c r="H19" s="370" t="s">
        <v>26</v>
      </c>
      <c r="I19" s="476"/>
      <c r="J19" s="542" t="s">
        <v>257</v>
      </c>
      <c r="K19" s="543"/>
      <c r="L19" s="536"/>
      <c r="M19" s="536"/>
      <c r="O19" s="465"/>
    </row>
    <row r="20" spans="2:17" ht="13.5" customHeight="1" x14ac:dyDescent="0.2">
      <c r="C20" s="154"/>
      <c r="E20" s="122"/>
      <c r="F20" s="117"/>
      <c r="G20" s="117"/>
      <c r="H20" s="477"/>
      <c r="I20" s="478"/>
      <c r="J20" s="479" t="s">
        <v>258</v>
      </c>
      <c r="K20" s="480"/>
      <c r="L20" s="94"/>
      <c r="M20" s="477"/>
      <c r="N20" s="465"/>
      <c r="O20" s="481"/>
    </row>
    <row r="21" spans="2:17" ht="20.25" customHeight="1" x14ac:dyDescent="0.2">
      <c r="C21" s="552" t="s">
        <v>259</v>
      </c>
      <c r="D21" s="552"/>
      <c r="E21" s="552"/>
      <c r="F21" s="552"/>
      <c r="G21" s="552"/>
      <c r="H21" s="482" t="s">
        <v>260</v>
      </c>
      <c r="I21" s="473"/>
      <c r="J21" s="483"/>
      <c r="K21" s="484"/>
      <c r="L21" s="553"/>
      <c r="M21" s="543"/>
      <c r="N21" s="465"/>
      <c r="O21" s="485" t="s">
        <v>261</v>
      </c>
    </row>
    <row r="22" spans="2:17" ht="20.25" customHeight="1" x14ac:dyDescent="0.2">
      <c r="C22" s="551" t="s">
        <v>262</v>
      </c>
      <c r="D22" s="551"/>
      <c r="E22" s="551"/>
      <c r="F22" s="551"/>
      <c r="G22" s="552"/>
      <c r="H22" s="486" t="s">
        <v>263</v>
      </c>
      <c r="I22" s="473"/>
      <c r="J22" s="487"/>
      <c r="K22" s="488"/>
      <c r="L22" s="553"/>
      <c r="M22" s="543"/>
      <c r="N22" s="465"/>
      <c r="O22" s="481"/>
    </row>
    <row r="23" spans="2:17" ht="20.25" customHeight="1" x14ac:dyDescent="0.2">
      <c r="C23" s="551"/>
      <c r="D23" s="551"/>
      <c r="E23" s="551"/>
      <c r="F23" s="551"/>
      <c r="G23" s="552"/>
      <c r="H23" s="486" t="s">
        <v>264</v>
      </c>
      <c r="I23" s="473"/>
      <c r="J23" s="487"/>
      <c r="K23" s="488"/>
      <c r="L23" s="553"/>
      <c r="M23" s="543"/>
      <c r="N23" s="465"/>
      <c r="O23" s="481"/>
    </row>
    <row r="24" spans="2:17" ht="11.25" customHeight="1" x14ac:dyDescent="0.2">
      <c r="C24" s="489"/>
      <c r="E24" s="122"/>
      <c r="F24" s="117"/>
      <c r="G24" s="117"/>
      <c r="H24" s="479" t="s">
        <v>265</v>
      </c>
      <c r="I24" s="477"/>
      <c r="J24" s="480"/>
      <c r="K24" s="480"/>
      <c r="L24" s="94"/>
      <c r="M24" s="477"/>
      <c r="N24" s="465"/>
      <c r="O24" s="481"/>
    </row>
    <row r="25" spans="2:17" ht="15.75" customHeight="1" x14ac:dyDescent="0.2">
      <c r="C25" s="546" t="s">
        <v>266</v>
      </c>
      <c r="D25" s="547"/>
      <c r="E25" s="547"/>
      <c r="F25" s="547"/>
      <c r="G25" s="547"/>
      <c r="H25" s="547"/>
      <c r="I25" s="547"/>
      <c r="J25" s="547"/>
      <c r="K25" s="547"/>
      <c r="L25" s="547"/>
      <c r="M25" s="548"/>
      <c r="N25" s="465"/>
      <c r="O25" s="490"/>
    </row>
    <row r="26" spans="2:17" ht="18.75" customHeight="1" x14ac:dyDescent="0.2">
      <c r="C26" s="491" t="s">
        <v>29</v>
      </c>
      <c r="D26" s="468"/>
      <c r="E26" s="469"/>
      <c r="F26" s="470"/>
      <c r="G26" s="158">
        <v>1</v>
      </c>
      <c r="H26" s="542">
        <v>2</v>
      </c>
      <c r="I26" s="543"/>
      <c r="J26" s="542">
        <v>3</v>
      </c>
      <c r="K26" s="543"/>
      <c r="L26" s="492"/>
      <c r="M26" s="158" t="s">
        <v>30</v>
      </c>
      <c r="N26" s="465"/>
      <c r="O26" s="490"/>
    </row>
    <row r="27" spans="2:17" ht="22.5" customHeight="1" x14ac:dyDescent="0.2">
      <c r="B27" s="151" t="s">
        <v>267</v>
      </c>
      <c r="C27" s="163" t="s">
        <v>31</v>
      </c>
      <c r="D27" s="473"/>
      <c r="E27" s="164"/>
      <c r="F27" s="165"/>
      <c r="G27" s="370"/>
      <c r="H27" s="549"/>
      <c r="I27" s="550"/>
      <c r="J27" s="542"/>
      <c r="K27" s="543"/>
      <c r="L27" s="493"/>
      <c r="M27" s="165"/>
      <c r="N27" s="465"/>
      <c r="O27" s="490"/>
    </row>
    <row r="28" spans="2:17" ht="22.5" customHeight="1" x14ac:dyDescent="0.2">
      <c r="B28" s="151" t="s">
        <v>268</v>
      </c>
      <c r="C28" s="494" t="s">
        <v>32</v>
      </c>
      <c r="E28" s="122"/>
      <c r="F28" s="495" t="s">
        <v>269</v>
      </c>
      <c r="G28" s="370"/>
      <c r="H28" s="549"/>
      <c r="I28" s="550"/>
      <c r="J28" s="542"/>
      <c r="K28" s="543"/>
      <c r="L28" s="493"/>
      <c r="M28" s="165"/>
      <c r="N28" s="465"/>
      <c r="O28" s="465"/>
    </row>
    <row r="29" spans="2:17" ht="22.5" customHeight="1" x14ac:dyDescent="0.2">
      <c r="B29" s="151" t="s">
        <v>270</v>
      </c>
      <c r="C29" s="163" t="s">
        <v>33</v>
      </c>
      <c r="D29" s="473"/>
      <c r="E29" s="164"/>
      <c r="F29" s="165" t="s">
        <v>271</v>
      </c>
      <c r="G29" s="496"/>
      <c r="H29" s="540"/>
      <c r="I29" s="541"/>
      <c r="J29" s="542"/>
      <c r="K29" s="543"/>
      <c r="L29" s="493"/>
      <c r="M29" s="370"/>
      <c r="N29" s="465"/>
      <c r="O29" s="465"/>
    </row>
    <row r="30" spans="2:17" ht="3.75" customHeight="1" x14ac:dyDescent="0.2">
      <c r="C30" s="116"/>
      <c r="E30" s="116"/>
      <c r="F30" s="117"/>
      <c r="G30" s="117"/>
      <c r="H30" s="497"/>
      <c r="I30" s="497"/>
      <c r="J30" s="117"/>
      <c r="K30" s="117"/>
      <c r="L30" s="498"/>
      <c r="M30" s="116"/>
      <c r="N30" s="465"/>
      <c r="O30" s="465"/>
    </row>
    <row r="31" spans="2:17" ht="22.5" customHeight="1" x14ac:dyDescent="0.2">
      <c r="E31" s="116"/>
      <c r="F31" s="149" t="s">
        <v>35</v>
      </c>
      <c r="G31" s="473"/>
      <c r="H31" s="499"/>
      <c r="I31" s="499"/>
      <c r="J31" s="542"/>
      <c r="K31" s="543"/>
      <c r="L31" s="500"/>
      <c r="M31" s="370" t="s">
        <v>34</v>
      </c>
      <c r="N31" s="465"/>
      <c r="O31" s="465"/>
    </row>
    <row r="32" spans="2:17" ht="4.5" customHeight="1" x14ac:dyDescent="0.2">
      <c r="C32" s="116"/>
      <c r="E32" s="116"/>
      <c r="F32" s="117"/>
      <c r="G32" s="501"/>
      <c r="H32" s="501"/>
      <c r="I32" s="501"/>
      <c r="J32" s="502"/>
      <c r="K32" s="502"/>
      <c r="L32" s="503"/>
      <c r="M32" s="501"/>
      <c r="N32" s="465"/>
      <c r="O32" s="465"/>
    </row>
    <row r="33" spans="1:15" ht="22.5" customHeight="1" x14ac:dyDescent="0.2">
      <c r="C33" s="546" t="s">
        <v>272</v>
      </c>
      <c r="D33" s="547"/>
      <c r="E33" s="547"/>
      <c r="F33" s="547"/>
      <c r="G33" s="547"/>
      <c r="H33" s="547"/>
      <c r="I33" s="547"/>
      <c r="J33" s="547"/>
      <c r="K33" s="547"/>
      <c r="L33" s="547"/>
      <c r="M33" s="548"/>
      <c r="N33" s="465"/>
      <c r="O33" s="465"/>
    </row>
    <row r="34" spans="1:15" ht="22.5" customHeight="1" x14ac:dyDescent="0.2">
      <c r="B34" s="151" t="s">
        <v>273</v>
      </c>
      <c r="C34" s="163" t="s">
        <v>37</v>
      </c>
      <c r="D34" s="473"/>
      <c r="E34" s="164"/>
      <c r="F34" s="165"/>
      <c r="G34" s="151"/>
      <c r="H34" s="542"/>
      <c r="I34" s="543"/>
      <c r="J34" s="542"/>
      <c r="K34" s="543"/>
      <c r="L34" s="504"/>
      <c r="M34" s="505" t="s">
        <v>16</v>
      </c>
      <c r="N34" s="465"/>
      <c r="O34" s="485" t="s">
        <v>274</v>
      </c>
    </row>
    <row r="35" spans="1:15" ht="22.5" customHeight="1" x14ac:dyDescent="0.2">
      <c r="B35" s="151" t="s">
        <v>275</v>
      </c>
      <c r="C35" s="163" t="s">
        <v>38</v>
      </c>
      <c r="D35" s="473"/>
      <c r="E35" s="164"/>
      <c r="F35" s="165"/>
      <c r="G35" s="148"/>
      <c r="H35" s="549"/>
      <c r="I35" s="550"/>
      <c r="J35" s="542"/>
      <c r="K35" s="543"/>
      <c r="L35" s="504"/>
      <c r="M35" s="370" t="s">
        <v>34</v>
      </c>
      <c r="N35" s="465"/>
      <c r="O35" s="465"/>
    </row>
    <row r="36" spans="1:15" ht="22.5" customHeight="1" x14ac:dyDescent="0.2">
      <c r="B36" s="151" t="s">
        <v>276</v>
      </c>
      <c r="C36" s="163" t="s">
        <v>277</v>
      </c>
      <c r="D36" s="473"/>
      <c r="E36" s="164"/>
      <c r="F36" s="506" t="s">
        <v>278</v>
      </c>
      <c r="G36" s="185"/>
      <c r="H36" s="540"/>
      <c r="I36" s="541"/>
      <c r="J36" s="542"/>
      <c r="K36" s="543"/>
      <c r="L36" s="504"/>
      <c r="M36" s="370" t="s">
        <v>40</v>
      </c>
      <c r="N36" s="465"/>
      <c r="O36" s="465"/>
    </row>
    <row r="37" spans="1:15" ht="3" customHeight="1" x14ac:dyDescent="0.2">
      <c r="N37" s="465"/>
      <c r="O37" s="465"/>
    </row>
    <row r="38" spans="1:15" ht="22.5" customHeight="1" x14ac:dyDescent="0.2">
      <c r="A38" s="507"/>
      <c r="D38" s="122"/>
      <c r="E38" s="122"/>
      <c r="F38" s="149" t="s">
        <v>41</v>
      </c>
      <c r="G38" s="473"/>
      <c r="H38" s="508"/>
      <c r="I38" s="499"/>
      <c r="J38" s="542"/>
      <c r="K38" s="543"/>
      <c r="L38" s="500"/>
      <c r="M38" s="509" t="s">
        <v>40</v>
      </c>
      <c r="N38" s="465"/>
      <c r="O38" s="465"/>
    </row>
    <row r="39" spans="1:15" ht="6" customHeight="1" x14ac:dyDescent="0.2">
      <c r="N39" s="465"/>
      <c r="O39" s="465"/>
    </row>
    <row r="40" spans="1:15" ht="17.25" customHeight="1" x14ac:dyDescent="0.2">
      <c r="A40" s="544" t="s">
        <v>279</v>
      </c>
      <c r="B40" s="544"/>
      <c r="C40" s="544"/>
      <c r="D40" s="544"/>
      <c r="E40" s="544"/>
      <c r="F40" s="544"/>
      <c r="G40" s="544"/>
      <c r="H40" s="545" t="s">
        <v>280</v>
      </c>
      <c r="I40" s="545"/>
      <c r="J40" s="545"/>
      <c r="K40" s="545" t="s">
        <v>281</v>
      </c>
      <c r="L40" s="545"/>
      <c r="M40" s="545"/>
      <c r="N40" s="465"/>
      <c r="O40" s="465"/>
    </row>
    <row r="41" spans="1:15" ht="20.25" customHeight="1" x14ac:dyDescent="0.2">
      <c r="A41" s="507"/>
      <c r="B41" s="510"/>
      <c r="C41" s="510"/>
      <c r="D41" s="510"/>
      <c r="E41" s="510"/>
      <c r="F41" s="510"/>
      <c r="G41" s="510"/>
      <c r="H41" s="536" t="s">
        <v>21</v>
      </c>
      <c r="I41" s="536"/>
      <c r="J41" s="536"/>
      <c r="K41" s="539"/>
      <c r="L41" s="539"/>
      <c r="M41" s="539"/>
      <c r="N41" s="465"/>
      <c r="O41" s="465"/>
    </row>
    <row r="42" spans="1:15" ht="20.25" customHeight="1" x14ac:dyDescent="0.2">
      <c r="A42" s="507"/>
      <c r="B42" s="510"/>
      <c r="C42" s="510"/>
      <c r="D42" s="510"/>
      <c r="E42" s="510"/>
      <c r="F42" s="510"/>
      <c r="G42" s="510"/>
      <c r="H42" s="536" t="s">
        <v>282</v>
      </c>
      <c r="I42" s="536"/>
      <c r="J42" s="536"/>
      <c r="K42" s="539"/>
      <c r="L42" s="539"/>
      <c r="M42" s="539"/>
      <c r="N42" s="465"/>
      <c r="O42" s="465"/>
    </row>
    <row r="43" spans="1:15" ht="22.5" customHeight="1" x14ac:dyDescent="0.2">
      <c r="A43" s="507"/>
      <c r="B43" s="510"/>
      <c r="C43" s="510"/>
      <c r="D43" s="510"/>
      <c r="E43" s="510"/>
      <c r="F43" s="510"/>
      <c r="G43" s="510"/>
      <c r="H43" s="535" t="s">
        <v>283</v>
      </c>
      <c r="I43" s="535"/>
      <c r="J43" s="535"/>
      <c r="K43" s="536"/>
      <c r="L43" s="536"/>
      <c r="M43" s="536"/>
      <c r="N43" s="465"/>
      <c r="O43" s="465"/>
    </row>
    <row r="44" spans="1:15" ht="18" customHeight="1" x14ac:dyDescent="0.2">
      <c r="H44" s="535" t="s">
        <v>284</v>
      </c>
      <c r="I44" s="535"/>
      <c r="J44" s="535"/>
      <c r="K44" s="536"/>
      <c r="L44" s="536"/>
      <c r="M44" s="536"/>
      <c r="N44" s="465"/>
      <c r="O44" s="465"/>
    </row>
    <row r="45" spans="1:15" ht="12" customHeight="1" x14ac:dyDescent="0.2">
      <c r="C45" s="511" t="s">
        <v>285</v>
      </c>
      <c r="N45" s="465"/>
      <c r="O45" s="465"/>
    </row>
    <row r="46" spans="1:15" ht="20.25" customHeight="1" x14ac:dyDescent="0.2">
      <c r="A46" s="512" t="s">
        <v>43</v>
      </c>
      <c r="D46" s="475"/>
      <c r="E46" s="475"/>
      <c r="F46" s="475"/>
      <c r="G46" s="475"/>
      <c r="H46" s="475"/>
      <c r="I46" s="475"/>
      <c r="J46" s="475"/>
      <c r="K46" s="475"/>
      <c r="L46" s="475"/>
      <c r="M46" s="475"/>
      <c r="N46" s="465"/>
      <c r="O46" s="465"/>
    </row>
    <row r="47" spans="1:15" ht="47.25" customHeight="1" x14ac:dyDescent="0.2">
      <c r="A47" s="507"/>
      <c r="B47" s="510"/>
      <c r="C47" s="510"/>
      <c r="D47" s="510"/>
      <c r="E47" s="510"/>
      <c r="F47" s="510"/>
      <c r="G47" s="510"/>
      <c r="H47" s="513"/>
      <c r="I47" s="513"/>
      <c r="J47" s="513"/>
      <c r="K47" s="513"/>
      <c r="L47" s="513"/>
      <c r="M47" s="513"/>
      <c r="N47" s="465"/>
      <c r="O47" s="465"/>
    </row>
    <row r="48" spans="1:15" ht="15.95" customHeight="1" x14ac:dyDescent="0.2">
      <c r="A48" s="514" t="s">
        <v>227</v>
      </c>
      <c r="B48" s="510"/>
      <c r="C48" s="510"/>
      <c r="D48" s="510"/>
      <c r="E48" s="510"/>
      <c r="F48" s="510"/>
      <c r="G48" s="510"/>
      <c r="H48" s="513"/>
      <c r="I48" s="513"/>
      <c r="J48" s="513"/>
      <c r="K48" s="513"/>
      <c r="L48" s="513"/>
      <c r="M48" s="513"/>
      <c r="N48" s="465"/>
      <c r="O48" s="465"/>
    </row>
    <row r="49" spans="1:15" ht="9" customHeight="1" x14ac:dyDescent="0.2">
      <c r="A49" s="514" t="s">
        <v>286</v>
      </c>
      <c r="B49" s="513"/>
      <c r="C49" s="513"/>
      <c r="D49" s="513"/>
      <c r="E49" s="513"/>
      <c r="F49" s="513"/>
      <c r="G49" s="513"/>
      <c r="H49" s="513"/>
      <c r="I49" s="513"/>
      <c r="J49" s="513"/>
      <c r="K49" s="513"/>
      <c r="L49" s="513"/>
      <c r="M49" s="513"/>
      <c r="N49" s="465"/>
      <c r="O49" s="465"/>
    </row>
    <row r="50" spans="1:15" ht="13.5" customHeight="1" x14ac:dyDescent="0.2">
      <c r="A50" s="537" t="s">
        <v>287</v>
      </c>
      <c r="B50" s="537"/>
      <c r="C50" s="537"/>
      <c r="D50" s="537"/>
      <c r="E50" s="537"/>
      <c r="F50" s="537"/>
      <c r="G50" s="537"/>
      <c r="H50" s="537"/>
      <c r="I50" s="537"/>
      <c r="J50" s="537"/>
      <c r="K50" s="537"/>
      <c r="L50" s="537"/>
      <c r="M50" s="537"/>
    </row>
    <row r="51" spans="1:15" ht="30.75" customHeight="1" x14ac:dyDescent="0.2">
      <c r="A51" s="538" t="s">
        <v>288</v>
      </c>
      <c r="B51" s="538"/>
      <c r="C51" s="538"/>
      <c r="D51" s="538"/>
      <c r="E51" s="538"/>
      <c r="F51" s="538"/>
      <c r="G51" s="538"/>
      <c r="H51" s="538"/>
      <c r="I51" s="538"/>
      <c r="J51" s="538"/>
      <c r="K51" s="538"/>
      <c r="L51" s="538"/>
      <c r="M51" s="538"/>
    </row>
    <row r="52" spans="1:15" ht="15.95" customHeight="1" x14ac:dyDescent="0.2"/>
    <row r="53" spans="1:15" ht="15.95" customHeight="1" x14ac:dyDescent="0.2"/>
  </sheetData>
  <sheetProtection algorithmName="SHA-512" hashValue="5j2Ffk77r4Zmvy5/RwBPHFwp8pOHVod37fXndkbuvYiz0kyRoB4mtpXqNlY03d28L+DBPgaItPZlAFMdjz6gfg==" saltValue="IqI45E1sC832mW8R21QPkQ==" spinCount="100000" sheet="1" objects="1" scenarios="1"/>
  <protectedRanges>
    <protectedRange sqref="C15" name="Rango3_3_1_1_1_1_1_1_1_1"/>
    <protectedRange sqref="C12" name="Rango3_3_1_1_1_1_1_2_1"/>
  </protectedRanges>
  <mergeCells count="61">
    <mergeCell ref="A7:M7"/>
    <mergeCell ref="A8:M8"/>
    <mergeCell ref="C10:D10"/>
    <mergeCell ref="E10:F10"/>
    <mergeCell ref="G10:H10"/>
    <mergeCell ref="I10:K10"/>
    <mergeCell ref="C11:D11"/>
    <mergeCell ref="E11:F11"/>
    <mergeCell ref="G11:H11"/>
    <mergeCell ref="I11:K11"/>
    <mergeCell ref="B12:D12"/>
    <mergeCell ref="E12:G12"/>
    <mergeCell ref="H12:L12"/>
    <mergeCell ref="C21:D21"/>
    <mergeCell ref="E21:G21"/>
    <mergeCell ref="L21:M21"/>
    <mergeCell ref="A13:M13"/>
    <mergeCell ref="A14:M14"/>
    <mergeCell ref="C16:H16"/>
    <mergeCell ref="J16:M16"/>
    <mergeCell ref="J17:K17"/>
    <mergeCell ref="L17:M17"/>
    <mergeCell ref="H26:I26"/>
    <mergeCell ref="J26:K26"/>
    <mergeCell ref="J18:K18"/>
    <mergeCell ref="L18:M18"/>
    <mergeCell ref="J19:K19"/>
    <mergeCell ref="L19:M19"/>
    <mergeCell ref="C22:F23"/>
    <mergeCell ref="G22:G23"/>
    <mergeCell ref="L22:M22"/>
    <mergeCell ref="L23:M23"/>
    <mergeCell ref="C25:M25"/>
    <mergeCell ref="H27:I27"/>
    <mergeCell ref="J27:K27"/>
    <mergeCell ref="H28:I28"/>
    <mergeCell ref="J28:K28"/>
    <mergeCell ref="H29:I29"/>
    <mergeCell ref="J29:K29"/>
    <mergeCell ref="J31:K31"/>
    <mergeCell ref="C33:M33"/>
    <mergeCell ref="H34:I34"/>
    <mergeCell ref="J34:K34"/>
    <mergeCell ref="H35:I35"/>
    <mergeCell ref="J35:K35"/>
    <mergeCell ref="H36:I36"/>
    <mergeCell ref="J36:K36"/>
    <mergeCell ref="J38:K38"/>
    <mergeCell ref="A40:G40"/>
    <mergeCell ref="H40:J40"/>
    <mergeCell ref="K40:M40"/>
    <mergeCell ref="H44:J44"/>
    <mergeCell ref="K44:M44"/>
    <mergeCell ref="A50:M50"/>
    <mergeCell ref="A51:M51"/>
    <mergeCell ref="H41:J41"/>
    <mergeCell ref="K41:M41"/>
    <mergeCell ref="H42:J42"/>
    <mergeCell ref="K42:M42"/>
    <mergeCell ref="H43:J43"/>
    <mergeCell ref="K43:M43"/>
  </mergeCells>
  <printOptions horizontalCentered="1" verticalCentered="1"/>
  <pageMargins left="0" right="0.39370078740157483" top="0.78740157480314965" bottom="0" header="0" footer="0"/>
  <pageSetup scale="83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X76"/>
  <sheetViews>
    <sheetView showGridLines="0" view="pageBreakPreview" topLeftCell="A28" zoomScale="130" zoomScaleNormal="100" zoomScaleSheetLayoutView="130" workbookViewId="0">
      <selection activeCell="M10" sqref="M10"/>
    </sheetView>
  </sheetViews>
  <sheetFormatPr baseColWidth="10" defaultColWidth="10.28515625" defaultRowHeight="15" x14ac:dyDescent="0.2"/>
  <cols>
    <col min="1" max="1" width="10.85546875" style="49" customWidth="1"/>
    <col min="2" max="2" width="2.42578125" style="49" customWidth="1"/>
    <col min="3" max="3" width="4.42578125" style="49" customWidth="1"/>
    <col min="4" max="4" width="2" style="49" customWidth="1"/>
    <col min="5" max="5" width="17.7109375" style="49" customWidth="1"/>
    <col min="6" max="6" width="15.85546875" style="49" customWidth="1"/>
    <col min="7" max="7" width="16" style="49" customWidth="1"/>
    <col min="8" max="8" width="15.85546875" style="49" customWidth="1"/>
    <col min="9" max="9" width="1.7109375" style="49" customWidth="1"/>
    <col min="10" max="10" width="14.140625" style="49" customWidth="1"/>
    <col min="11" max="11" width="6.42578125" style="49" customWidth="1"/>
    <col min="12" max="12" width="4.140625" style="49" customWidth="1"/>
    <col min="13" max="13" width="8" style="49" customWidth="1"/>
    <col min="14" max="16384" width="10.28515625" style="49"/>
  </cols>
  <sheetData>
    <row r="1" spans="1:15" ht="38.25" customHeight="1" x14ac:dyDescent="0.2">
      <c r="A1" s="66"/>
      <c r="B1" s="66"/>
      <c r="C1" s="66"/>
      <c r="D1" s="66"/>
      <c r="E1" s="66"/>
      <c r="F1" s="66"/>
      <c r="G1" s="66"/>
      <c r="H1" s="66"/>
      <c r="I1" s="66"/>
      <c r="J1" s="66"/>
    </row>
    <row r="2" spans="1:15" ht="15.95" customHeight="1" x14ac:dyDescent="0.2">
      <c r="A2" s="565" t="s">
        <v>0</v>
      </c>
      <c r="B2" s="565"/>
      <c r="C2" s="565"/>
      <c r="D2" s="565"/>
      <c r="E2" s="565"/>
      <c r="F2" s="565"/>
      <c r="G2" s="565"/>
      <c r="H2" s="565"/>
      <c r="I2" s="565"/>
      <c r="J2" s="565"/>
    </row>
    <row r="3" spans="1:15" ht="15.95" customHeight="1" x14ac:dyDescent="0.2">
      <c r="A3" s="576">
        <v>0</v>
      </c>
      <c r="B3" s="576"/>
      <c r="C3" s="576"/>
      <c r="D3" s="576"/>
      <c r="E3" s="576"/>
      <c r="F3" s="576"/>
      <c r="G3" s="576"/>
      <c r="H3" s="576"/>
      <c r="I3" s="576"/>
      <c r="J3" s="576"/>
    </row>
    <row r="4" spans="1:15" ht="6" customHeight="1" x14ac:dyDescent="0.2"/>
    <row r="5" spans="1:15" ht="15.95" customHeight="1" x14ac:dyDescent="0.2">
      <c r="A5" s="346" t="s">
        <v>1</v>
      </c>
      <c r="B5" s="68" t="s">
        <v>2</v>
      </c>
      <c r="C5" s="572">
        <f>+FORMATO!Q2</f>
        <v>0</v>
      </c>
      <c r="D5" s="572"/>
      <c r="E5" s="572"/>
      <c r="F5" s="572"/>
      <c r="G5" s="572"/>
      <c r="H5" s="70" t="s">
        <v>3</v>
      </c>
      <c r="I5" s="69" t="s">
        <v>2</v>
      </c>
      <c r="J5" s="71" t="s">
        <v>4</v>
      </c>
    </row>
    <row r="6" spans="1:15" ht="15.95" customHeight="1" x14ac:dyDescent="0.2">
      <c r="A6" s="346" t="s">
        <v>5</v>
      </c>
      <c r="B6" s="68" t="s">
        <v>2</v>
      </c>
      <c r="C6" s="572">
        <f>+FORMATO!Q3</f>
        <v>0</v>
      </c>
      <c r="D6" s="572"/>
      <c r="E6" s="572"/>
      <c r="F6" s="572"/>
      <c r="G6" s="572"/>
      <c r="H6" s="70" t="s">
        <v>234</v>
      </c>
      <c r="I6" s="67" t="s">
        <v>2</v>
      </c>
      <c r="J6" s="449">
        <f>+FORMATO!Q7</f>
        <v>0</v>
      </c>
      <c r="K6" s="51"/>
      <c r="L6" s="51"/>
      <c r="M6" s="51"/>
    </row>
    <row r="7" spans="1:15" ht="15.95" customHeight="1" x14ac:dyDescent="0.2">
      <c r="A7" s="346" t="s">
        <v>6</v>
      </c>
      <c r="B7" s="68" t="s">
        <v>2</v>
      </c>
      <c r="C7" s="572">
        <f>+FORMATO!Q4</f>
        <v>0</v>
      </c>
      <c r="D7" s="572"/>
      <c r="E7" s="572"/>
      <c r="F7" s="572"/>
      <c r="G7" s="572"/>
      <c r="H7" s="70" t="s">
        <v>290</v>
      </c>
      <c r="I7" s="67" t="s">
        <v>2</v>
      </c>
      <c r="J7" s="449">
        <f>+FORMATO!Q9</f>
        <v>0</v>
      </c>
      <c r="K7" s="51"/>
      <c r="L7" s="51"/>
      <c r="M7" s="51"/>
      <c r="O7" s="52"/>
    </row>
    <row r="8" spans="1:15" ht="15.95" customHeight="1" x14ac:dyDescent="0.2">
      <c r="A8" s="346" t="s">
        <v>8</v>
      </c>
      <c r="B8" s="68" t="s">
        <v>2</v>
      </c>
      <c r="C8" s="572">
        <f>+FORMATO!Q5</f>
        <v>0</v>
      </c>
      <c r="D8" s="572"/>
      <c r="E8" s="572"/>
      <c r="F8" s="572"/>
      <c r="G8" s="572"/>
      <c r="H8" s="70" t="s">
        <v>7</v>
      </c>
      <c r="I8" s="67" t="s">
        <v>2</v>
      </c>
      <c r="J8" s="427">
        <f>+FORMATO!Q8</f>
        <v>0</v>
      </c>
      <c r="K8" s="51"/>
      <c r="L8" s="51"/>
      <c r="M8" s="51"/>
      <c r="O8" s="138"/>
    </row>
    <row r="9" spans="1:15" ht="13.5" customHeight="1" x14ac:dyDescent="0.2">
      <c r="A9" s="279" t="s">
        <v>9</v>
      </c>
      <c r="B9" s="142"/>
      <c r="C9" s="142"/>
      <c r="D9" s="68"/>
      <c r="E9" s="54"/>
      <c r="F9" s="53"/>
      <c r="G9" s="53"/>
      <c r="H9" s="70"/>
      <c r="I9" s="68"/>
      <c r="J9" s="55"/>
      <c r="K9" s="51"/>
      <c r="L9" s="51"/>
      <c r="M9" s="51"/>
      <c r="O9" s="138"/>
    </row>
    <row r="10" spans="1:15" ht="15" customHeight="1" x14ac:dyDescent="0.2">
      <c r="A10" s="586" t="s">
        <v>10</v>
      </c>
      <c r="B10" s="587"/>
      <c r="C10" s="587"/>
      <c r="D10" s="587"/>
      <c r="E10" s="587"/>
      <c r="F10" s="587"/>
      <c r="G10" s="587"/>
      <c r="H10" s="587"/>
      <c r="I10" s="587"/>
      <c r="J10" s="588"/>
      <c r="K10" s="51"/>
      <c r="L10" s="51"/>
    </row>
    <row r="11" spans="1:15" ht="14.25" customHeight="1" x14ac:dyDescent="0.2">
      <c r="A11" s="577" t="s">
        <v>235</v>
      </c>
      <c r="B11" s="578"/>
      <c r="C11" s="578"/>
      <c r="D11" s="578"/>
      <c r="E11" s="578"/>
      <c r="F11" s="578"/>
      <c r="G11" s="578"/>
      <c r="H11" s="578"/>
      <c r="I11" s="578"/>
      <c r="J11" s="579"/>
      <c r="K11" s="51"/>
      <c r="L11" s="51"/>
    </row>
    <row r="12" spans="1:15" ht="4.5" customHeight="1" x14ac:dyDescent="0.2">
      <c r="A12" s="437"/>
      <c r="B12" s="438"/>
      <c r="C12" s="438"/>
      <c r="D12" s="439"/>
      <c r="E12" s="440"/>
      <c r="F12" s="440"/>
      <c r="G12" s="440"/>
      <c r="H12" s="441"/>
      <c r="I12" s="439"/>
      <c r="J12" s="442"/>
      <c r="K12" s="51"/>
      <c r="L12" s="51"/>
    </row>
    <row r="13" spans="1:15" ht="15.95" customHeight="1" x14ac:dyDescent="0.2">
      <c r="A13" s="589" t="s">
        <v>11</v>
      </c>
      <c r="B13" s="590"/>
      <c r="C13" s="590"/>
      <c r="D13" s="590"/>
      <c r="E13" s="590"/>
      <c r="F13" s="590"/>
      <c r="G13" s="590"/>
      <c r="H13" s="590"/>
      <c r="I13" s="590"/>
      <c r="J13" s="591"/>
      <c r="L13" s="51"/>
    </row>
    <row r="14" spans="1:15" ht="15.95" customHeight="1" x14ac:dyDescent="0.2">
      <c r="A14" s="72" t="s">
        <v>12</v>
      </c>
      <c r="B14" s="443"/>
      <c r="C14" s="443"/>
      <c r="D14" s="67" t="s">
        <v>2</v>
      </c>
      <c r="E14" s="530">
        <f>+FORMATO!Q15</f>
        <v>0</v>
      </c>
      <c r="F14" s="50"/>
      <c r="G14" s="444"/>
      <c r="H14" s="445" t="s">
        <v>13</v>
      </c>
      <c r="I14" s="75" t="s">
        <v>2</v>
      </c>
      <c r="J14" s="450">
        <f>+FORMATO!Q11</f>
        <v>0</v>
      </c>
      <c r="K14" s="56"/>
      <c r="L14" s="51"/>
    </row>
    <row r="15" spans="1:15" ht="15.95" customHeight="1" x14ac:dyDescent="0.2">
      <c r="A15" s="72" t="s">
        <v>14</v>
      </c>
      <c r="B15" s="443"/>
      <c r="C15" s="443"/>
      <c r="D15" s="67" t="s">
        <v>2</v>
      </c>
      <c r="E15" s="530">
        <f>+FORMATO!Q16</f>
        <v>0</v>
      </c>
      <c r="F15" s="50"/>
      <c r="G15" s="444"/>
      <c r="H15" s="445" t="s">
        <v>15</v>
      </c>
      <c r="I15" s="75" t="s">
        <v>2</v>
      </c>
      <c r="J15" s="446">
        <f>+FORMATO!Q12</f>
        <v>0</v>
      </c>
      <c r="K15" s="56"/>
      <c r="L15" s="51"/>
    </row>
    <row r="16" spans="1:15" ht="15.95" customHeight="1" x14ac:dyDescent="0.2">
      <c r="A16" s="72" t="s">
        <v>231</v>
      </c>
      <c r="B16" s="443"/>
      <c r="C16" s="443"/>
      <c r="D16" s="67" t="s">
        <v>2</v>
      </c>
      <c r="E16" s="530">
        <f>+FORMATO!Q17</f>
        <v>0</v>
      </c>
      <c r="F16" s="50"/>
      <c r="G16" s="444"/>
      <c r="H16" s="445" t="s">
        <v>17</v>
      </c>
      <c r="I16" s="75" t="s">
        <v>2</v>
      </c>
      <c r="J16" s="446">
        <f>+FORMATO!Q13</f>
        <v>0</v>
      </c>
      <c r="K16" s="56"/>
      <c r="L16" s="51">
        <f>+FORMATO!G11</f>
        <v>0</v>
      </c>
    </row>
    <row r="17" spans="1:15" ht="11.25" customHeight="1" x14ac:dyDescent="0.2">
      <c r="A17" s="73" t="s">
        <v>18</v>
      </c>
      <c r="B17" s="143"/>
      <c r="C17" s="143"/>
      <c r="D17" s="74" t="s">
        <v>2</v>
      </c>
      <c r="E17" s="447" t="s">
        <v>19</v>
      </c>
      <c r="F17" s="57"/>
      <c r="G17" s="58"/>
      <c r="H17" s="76"/>
      <c r="I17" s="77"/>
      <c r="J17" s="59"/>
      <c r="K17" s="56"/>
      <c r="L17" s="51"/>
    </row>
    <row r="18" spans="1:15" ht="4.1500000000000004" customHeight="1" x14ac:dyDescent="0.2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56"/>
      <c r="L18" s="51"/>
      <c r="M18" s="51"/>
      <c r="O18" s="60"/>
    </row>
    <row r="19" spans="1:15" ht="15.75" customHeight="1" x14ac:dyDescent="0.2">
      <c r="A19" s="79"/>
      <c r="B19" s="79"/>
      <c r="C19" s="79"/>
      <c r="D19" s="80"/>
      <c r="E19" s="546" t="s">
        <v>20</v>
      </c>
      <c r="F19" s="547"/>
      <c r="G19" s="547"/>
      <c r="H19" s="548"/>
      <c r="I19" s="81"/>
      <c r="J19" s="81"/>
      <c r="K19" s="62"/>
      <c r="L19" s="62"/>
      <c r="M19" s="144"/>
      <c r="N19" s="61"/>
      <c r="O19" s="61"/>
    </row>
    <row r="20" spans="1:15" ht="15" customHeight="1" x14ac:dyDescent="0.2">
      <c r="A20" s="79"/>
      <c r="B20" s="79"/>
      <c r="C20" s="79"/>
      <c r="D20" s="82"/>
      <c r="E20" s="153" t="s">
        <v>21</v>
      </c>
      <c r="F20" s="176"/>
      <c r="G20" s="90">
        <f>+DATOS!F18</f>
        <v>0</v>
      </c>
      <c r="H20" s="177" t="s">
        <v>22</v>
      </c>
      <c r="I20" s="86"/>
      <c r="J20" s="87"/>
      <c r="K20" s="62"/>
      <c r="L20" s="62"/>
      <c r="M20" s="61"/>
      <c r="N20" s="61"/>
      <c r="O20" s="61"/>
    </row>
    <row r="21" spans="1:15" ht="14.25" customHeight="1" x14ac:dyDescent="0.2">
      <c r="A21" s="79"/>
      <c r="B21" s="79"/>
      <c r="C21" s="79"/>
      <c r="D21" s="88"/>
      <c r="E21" s="163" t="s">
        <v>23</v>
      </c>
      <c r="F21" s="175"/>
      <c r="G21" s="148">
        <f>+DATOS!G19</f>
        <v>0</v>
      </c>
      <c r="H21" s="151" t="s">
        <v>24</v>
      </c>
      <c r="I21" s="91"/>
      <c r="J21" s="79"/>
      <c r="K21" s="62"/>
      <c r="L21" s="62"/>
      <c r="M21" s="61"/>
      <c r="N21" s="61"/>
      <c r="O21" s="61"/>
    </row>
    <row r="22" spans="1:15" ht="16.5" customHeight="1" x14ac:dyDescent="0.2">
      <c r="A22" s="79"/>
      <c r="B22" s="79"/>
      <c r="C22" s="79"/>
      <c r="D22" s="88"/>
      <c r="E22" s="159" t="s">
        <v>25</v>
      </c>
      <c r="F22" s="182"/>
      <c r="G22" s="390">
        <f>+DATOS!G20</f>
        <v>0</v>
      </c>
      <c r="H22" s="183" t="s">
        <v>26</v>
      </c>
      <c r="I22" s="94"/>
      <c r="J22" s="79"/>
      <c r="K22" s="62"/>
      <c r="L22" s="62"/>
      <c r="M22" s="61"/>
      <c r="N22" s="61"/>
      <c r="O22" s="61"/>
    </row>
    <row r="23" spans="1:15" ht="1.9" customHeight="1" x14ac:dyDescent="0.2">
      <c r="A23" s="95"/>
      <c r="B23" s="95"/>
      <c r="C23" s="95"/>
      <c r="D23" s="95"/>
      <c r="E23" s="96"/>
      <c r="F23" s="96"/>
      <c r="G23" s="96"/>
      <c r="H23" s="96"/>
      <c r="I23" s="97"/>
      <c r="J23" s="96"/>
      <c r="K23" s="62"/>
      <c r="L23" s="62"/>
      <c r="M23" s="61"/>
      <c r="N23" s="61"/>
      <c r="O23" s="61"/>
    </row>
    <row r="24" spans="1:15" ht="15" customHeight="1" x14ac:dyDescent="0.2">
      <c r="A24" s="580" t="s">
        <v>27</v>
      </c>
      <c r="B24" s="581"/>
      <c r="C24" s="581"/>
      <c r="D24" s="581"/>
      <c r="E24" s="582"/>
      <c r="F24" s="583" t="str">
        <f>DATOS!B17</f>
        <v>C Suelto</v>
      </c>
      <c r="G24" s="584"/>
      <c r="H24" s="98"/>
      <c r="I24" s="98"/>
      <c r="J24" s="99"/>
      <c r="K24" s="62"/>
      <c r="M24" s="61"/>
      <c r="N24" s="61"/>
      <c r="O24" s="61"/>
    </row>
    <row r="25" spans="1:15" ht="6" customHeight="1" x14ac:dyDescent="0.2">
      <c r="A25" s="95"/>
      <c r="B25" s="95"/>
      <c r="C25" s="95"/>
      <c r="D25" s="95"/>
      <c r="E25" s="96"/>
      <c r="F25" s="96"/>
      <c r="G25" s="96"/>
      <c r="H25" s="96"/>
      <c r="I25" s="97"/>
      <c r="J25" s="96"/>
      <c r="K25" s="62"/>
      <c r="L25" s="62"/>
      <c r="M25" s="61"/>
      <c r="N25" s="61"/>
      <c r="O25" s="61"/>
    </row>
    <row r="26" spans="1:15" ht="15" customHeight="1" x14ac:dyDescent="0.2">
      <c r="A26" s="546" t="s">
        <v>28</v>
      </c>
      <c r="B26" s="547"/>
      <c r="C26" s="547"/>
      <c r="D26" s="547"/>
      <c r="E26" s="547"/>
      <c r="F26" s="547"/>
      <c r="G26" s="547"/>
      <c r="H26" s="547"/>
      <c r="I26" s="547"/>
      <c r="J26" s="548"/>
      <c r="K26" s="62"/>
      <c r="L26" s="62"/>
      <c r="M26" s="61"/>
      <c r="N26" s="61"/>
      <c r="O26" s="61"/>
    </row>
    <row r="27" spans="1:15" ht="15" customHeight="1" x14ac:dyDescent="0.2">
      <c r="A27" s="100" t="s">
        <v>29</v>
      </c>
      <c r="B27" s="101"/>
      <c r="C27" s="101"/>
      <c r="D27" s="101"/>
      <c r="E27" s="102"/>
      <c r="F27" s="103">
        <v>1</v>
      </c>
      <c r="G27" s="103">
        <v>2</v>
      </c>
      <c r="H27" s="103">
        <v>3</v>
      </c>
      <c r="I27" s="104"/>
      <c r="J27" s="105" t="s">
        <v>30</v>
      </c>
      <c r="K27" s="62"/>
      <c r="L27" s="62"/>
      <c r="M27" s="61"/>
      <c r="N27" s="61"/>
    </row>
    <row r="28" spans="1:15" ht="15" customHeight="1" x14ac:dyDescent="0.2">
      <c r="A28" s="153" t="s">
        <v>31</v>
      </c>
      <c r="B28" s="154"/>
      <c r="C28" s="154"/>
      <c r="D28" s="154"/>
      <c r="E28" s="155"/>
      <c r="F28" s="156">
        <f>+DATOS!F24</f>
        <v>0</v>
      </c>
      <c r="G28" s="156">
        <f>+DATOS!H24</f>
        <v>0</v>
      </c>
      <c r="H28" s="156">
        <f>+DATOS!J24</f>
        <v>0</v>
      </c>
      <c r="I28" s="157"/>
      <c r="J28" s="158" t="s">
        <v>24</v>
      </c>
      <c r="K28" s="62"/>
      <c r="L28" s="62"/>
      <c r="M28" s="61"/>
      <c r="N28" s="61"/>
      <c r="O28" s="61"/>
    </row>
    <row r="29" spans="1:15" ht="15" customHeight="1" x14ac:dyDescent="0.2">
      <c r="A29" s="163" t="s">
        <v>32</v>
      </c>
      <c r="B29" s="164"/>
      <c r="C29" s="164"/>
      <c r="D29" s="164"/>
      <c r="E29" s="145"/>
      <c r="F29" s="148">
        <f>+DATOS!F25</f>
        <v>0</v>
      </c>
      <c r="G29" s="148">
        <f>+DATOS!H25</f>
        <v>0</v>
      </c>
      <c r="H29" s="148">
        <f>+DATOS!J25</f>
        <v>0</v>
      </c>
      <c r="I29" s="104"/>
      <c r="J29" s="165" t="s">
        <v>24</v>
      </c>
      <c r="K29" s="62"/>
      <c r="L29" s="62"/>
      <c r="M29" s="61"/>
      <c r="N29" s="61"/>
      <c r="O29" s="61"/>
    </row>
    <row r="30" spans="1:15" ht="15" customHeight="1" x14ac:dyDescent="0.2">
      <c r="A30" s="159" t="s">
        <v>33</v>
      </c>
      <c r="B30" s="95"/>
      <c r="C30" s="95"/>
      <c r="D30" s="95"/>
      <c r="E30" s="96"/>
      <c r="F30" s="160" t="e">
        <f>ROUND(+DATOS!F26,-1)</f>
        <v>#DIV/0!</v>
      </c>
      <c r="G30" s="160" t="e">
        <f>ROUND(+DATOS!H26,-1)</f>
        <v>#DIV/0!</v>
      </c>
      <c r="H30" s="160" t="e">
        <f>ROUND(+DATOS!J26,-1)</f>
        <v>#DIV/0!</v>
      </c>
      <c r="I30" s="161"/>
      <c r="J30" s="162" t="s">
        <v>34</v>
      </c>
      <c r="K30" s="62" t="s">
        <v>241</v>
      </c>
      <c r="L30" s="62"/>
      <c r="M30" s="61"/>
      <c r="N30" s="61"/>
      <c r="O30" s="61"/>
    </row>
    <row r="31" spans="1:15" ht="6" customHeight="1" x14ac:dyDescent="0.2">
      <c r="A31" s="116"/>
      <c r="B31" s="116"/>
      <c r="C31" s="116"/>
      <c r="D31" s="116"/>
      <c r="E31" s="117"/>
      <c r="F31" s="117"/>
      <c r="G31" s="118"/>
      <c r="H31" s="117"/>
      <c r="I31" s="119"/>
      <c r="J31" s="116"/>
      <c r="K31" s="62"/>
      <c r="L31" s="62"/>
      <c r="M31" s="61"/>
      <c r="N31" s="61"/>
      <c r="O31" s="61"/>
    </row>
    <row r="32" spans="1:15" ht="15" customHeight="1" x14ac:dyDescent="0.2">
      <c r="A32" s="116"/>
      <c r="B32" s="116"/>
      <c r="C32" s="116"/>
      <c r="D32" s="116"/>
      <c r="E32" s="585" t="s">
        <v>35</v>
      </c>
      <c r="F32" s="585"/>
      <c r="G32" s="585"/>
      <c r="H32" s="147" t="e">
        <f>ROUND(AVERAGE(F30:H30),-1)</f>
        <v>#DIV/0!</v>
      </c>
      <c r="I32" s="549" t="s">
        <v>34</v>
      </c>
      <c r="J32" s="550"/>
      <c r="K32" s="62" t="s">
        <v>241</v>
      </c>
      <c r="L32" s="62"/>
      <c r="M32" s="61"/>
      <c r="N32" s="61"/>
      <c r="O32" s="61"/>
    </row>
    <row r="33" spans="1:24" ht="6" customHeight="1" x14ac:dyDescent="0.2">
      <c r="A33" s="116"/>
      <c r="B33" s="116"/>
      <c r="C33" s="116"/>
      <c r="D33" s="116"/>
      <c r="E33" s="117"/>
      <c r="F33" s="121"/>
      <c r="G33" s="121"/>
      <c r="H33" s="146"/>
      <c r="I33" s="120"/>
      <c r="J33" s="121"/>
      <c r="K33" s="50"/>
      <c r="L33" s="50"/>
      <c r="M33" s="61"/>
      <c r="N33" s="61"/>
      <c r="O33" s="61"/>
    </row>
    <row r="34" spans="1:24" ht="15" customHeight="1" x14ac:dyDescent="0.2">
      <c r="A34" s="546" t="s">
        <v>36</v>
      </c>
      <c r="B34" s="547"/>
      <c r="C34" s="547"/>
      <c r="D34" s="547"/>
      <c r="E34" s="547"/>
      <c r="F34" s="547"/>
      <c r="G34" s="547"/>
      <c r="H34" s="547"/>
      <c r="I34" s="547"/>
      <c r="J34" s="548"/>
      <c r="K34" s="50"/>
      <c r="L34" s="50"/>
      <c r="M34" s="61"/>
      <c r="N34" s="61"/>
      <c r="O34" s="61"/>
    </row>
    <row r="35" spans="1:24" ht="15" customHeight="1" x14ac:dyDescent="0.2">
      <c r="A35" s="92" t="s">
        <v>33</v>
      </c>
      <c r="B35" s="112"/>
      <c r="C35" s="112"/>
      <c r="D35" s="112"/>
      <c r="E35" s="113"/>
      <c r="F35" s="141" t="e">
        <f>+DATOS!F29</f>
        <v>#DIV/0!</v>
      </c>
      <c r="G35" s="141" t="e">
        <f>+DATOS!H29</f>
        <v>#DIV/0!</v>
      </c>
      <c r="H35" s="141" t="e">
        <f>+DATOS!J29</f>
        <v>#DIV/0!</v>
      </c>
      <c r="I35" s="114"/>
      <c r="J35" s="115" t="s">
        <v>34</v>
      </c>
      <c r="K35" s="50"/>
      <c r="L35" s="50"/>
      <c r="M35" s="61"/>
      <c r="N35" s="61"/>
      <c r="O35" s="61"/>
    </row>
    <row r="36" spans="1:24" ht="15" customHeight="1" x14ac:dyDescent="0.2">
      <c r="A36" s="573" t="s">
        <v>232</v>
      </c>
      <c r="B36" s="574"/>
      <c r="C36" s="574"/>
      <c r="D36" s="574"/>
      <c r="E36" s="575"/>
      <c r="F36" s="166">
        <f>+DATOS!F30</f>
        <v>0</v>
      </c>
      <c r="G36" s="166">
        <f>+DATOS!H30</f>
        <v>0</v>
      </c>
      <c r="H36" s="166">
        <f>+DATOS!J30</f>
        <v>0</v>
      </c>
      <c r="I36" s="167"/>
      <c r="J36" s="158" t="s">
        <v>16</v>
      </c>
      <c r="K36" s="51"/>
      <c r="L36" s="51"/>
      <c r="N36" s="61"/>
      <c r="O36" s="61"/>
    </row>
    <row r="37" spans="1:24" ht="15" customHeight="1" x14ac:dyDescent="0.2">
      <c r="A37" s="163" t="s">
        <v>38</v>
      </c>
      <c r="B37" s="164"/>
      <c r="C37" s="164"/>
      <c r="D37" s="164"/>
      <c r="E37" s="165"/>
      <c r="F37" s="152">
        <f>+DATOS!F31</f>
        <v>998</v>
      </c>
      <c r="G37" s="152">
        <f>+DATOS!H31</f>
        <v>998</v>
      </c>
      <c r="H37" s="152">
        <f>+DATOS!J31</f>
        <v>998</v>
      </c>
      <c r="I37" s="170"/>
      <c r="J37" s="370" t="s">
        <v>34</v>
      </c>
      <c r="K37" s="51"/>
      <c r="L37" s="51"/>
      <c r="M37" s="61"/>
      <c r="N37" s="61"/>
      <c r="O37" s="61"/>
    </row>
    <row r="38" spans="1:24" ht="15" customHeight="1" x14ac:dyDescent="0.2">
      <c r="A38" s="159" t="s">
        <v>39</v>
      </c>
      <c r="B38" s="95"/>
      <c r="C38" s="95"/>
      <c r="D38" s="95"/>
      <c r="E38" s="168"/>
      <c r="F38" s="160" t="e">
        <f>ROUND(+DATOS!F32,0)</f>
        <v>#DIV/0!</v>
      </c>
      <c r="G38" s="160" t="e">
        <f>ROUND(+DATOS!H32,0)</f>
        <v>#DIV/0!</v>
      </c>
      <c r="H38" s="160" t="e">
        <f>ROUND(+DATOS!J32,0)</f>
        <v>#DIV/0!</v>
      </c>
      <c r="I38" s="169"/>
      <c r="J38" s="162" t="s">
        <v>40</v>
      </c>
      <c r="K38" s="62" t="s">
        <v>240</v>
      </c>
      <c r="L38" s="51"/>
      <c r="M38" s="61"/>
      <c r="N38" s="61"/>
      <c r="O38" s="61"/>
    </row>
    <row r="39" spans="1:24" ht="6" customHeight="1" x14ac:dyDescent="0.2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51"/>
      <c r="L39" s="51"/>
      <c r="M39" s="61"/>
      <c r="N39" s="61"/>
      <c r="O39" s="61"/>
    </row>
    <row r="40" spans="1:24" ht="15" customHeight="1" x14ac:dyDescent="0.2">
      <c r="A40" s="122"/>
      <c r="B40" s="122"/>
      <c r="C40" s="122"/>
      <c r="D40" s="122"/>
      <c r="E40" s="117"/>
      <c r="F40" s="149" t="s">
        <v>41</v>
      </c>
      <c r="G40" s="150"/>
      <c r="H40" s="147" t="e">
        <f>ROUND(AVERAGE(F38:H38),0)</f>
        <v>#DIV/0!</v>
      </c>
      <c r="I40" s="549" t="s">
        <v>40</v>
      </c>
      <c r="J40" s="550"/>
      <c r="K40" s="62" t="s">
        <v>240</v>
      </c>
      <c r="L40" s="51"/>
      <c r="M40" s="61"/>
      <c r="N40" s="61"/>
      <c r="O40" s="61"/>
    </row>
    <row r="41" spans="1:24" ht="6" customHeight="1" x14ac:dyDescent="0.2">
      <c r="K41" s="51"/>
      <c r="L41" s="51"/>
      <c r="M41" s="61"/>
      <c r="N41" s="61"/>
      <c r="O41" s="61"/>
    </row>
    <row r="42" spans="1:24" ht="15" customHeight="1" x14ac:dyDescent="0.2">
      <c r="A42" s="280" t="s">
        <v>224</v>
      </c>
      <c r="B42" s="122"/>
      <c r="C42" s="122"/>
      <c r="D42" s="122"/>
      <c r="E42" s="117"/>
      <c r="F42" s="123"/>
      <c r="G42" s="121"/>
      <c r="H42" s="124"/>
      <c r="I42" s="119"/>
      <c r="J42" s="118"/>
      <c r="K42" s="51"/>
      <c r="L42" s="51"/>
      <c r="M42" s="61"/>
      <c r="N42" s="61"/>
      <c r="O42" s="122"/>
      <c r="P42" s="122"/>
      <c r="Q42" s="122"/>
      <c r="R42" s="122"/>
      <c r="S42" s="117"/>
      <c r="T42" s="123"/>
      <c r="U42" s="121"/>
      <c r="V42" s="124"/>
      <c r="W42" s="119"/>
      <c r="X42" s="118"/>
    </row>
    <row r="43" spans="1:24" ht="15" customHeight="1" x14ac:dyDescent="0.2">
      <c r="A43" s="421" t="s">
        <v>225</v>
      </c>
      <c r="B43" s="122"/>
      <c r="C43" s="122"/>
      <c r="D43" s="122"/>
      <c r="E43" s="117"/>
      <c r="F43" s="152">
        <f>+DATOS!E47</f>
        <v>0</v>
      </c>
      <c r="G43" s="121"/>
      <c r="H43" s="124"/>
      <c r="I43" s="119"/>
      <c r="J43" s="118"/>
      <c r="K43" s="51"/>
      <c r="L43" s="51"/>
      <c r="M43" s="61"/>
      <c r="N43" s="61"/>
      <c r="O43" s="280"/>
      <c r="P43" s="79"/>
      <c r="Q43" s="79"/>
      <c r="R43" s="79"/>
      <c r="S43" s="75"/>
      <c r="T43" s="75"/>
      <c r="U43" s="281"/>
      <c r="V43" s="282"/>
      <c r="W43" s="282"/>
      <c r="X43" s="282"/>
    </row>
    <row r="44" spans="1:24" ht="15" customHeight="1" x14ac:dyDescent="0.2">
      <c r="A44" s="421" t="s">
        <v>226</v>
      </c>
      <c r="B44" s="122"/>
      <c r="C44" s="122"/>
      <c r="D44" s="122"/>
      <c r="E44" s="117"/>
      <c r="F44" s="152">
        <f>+DATOS!E48</f>
        <v>0</v>
      </c>
      <c r="G44" s="121"/>
      <c r="H44" s="124"/>
      <c r="I44" s="119"/>
      <c r="J44" s="118"/>
      <c r="K44" s="51"/>
      <c r="L44" s="51"/>
      <c r="M44" s="61"/>
      <c r="N44" s="61"/>
      <c r="O44" s="283"/>
      <c r="P44" s="79"/>
      <c r="Q44" s="79"/>
      <c r="R44" s="79"/>
      <c r="S44" s="75"/>
      <c r="T44" s="75"/>
      <c r="U44" s="281"/>
      <c r="V44" s="282"/>
      <c r="W44" s="282"/>
      <c r="X44" s="282"/>
    </row>
    <row r="45" spans="1:24" ht="6" customHeight="1" x14ac:dyDescent="0.2">
      <c r="A45" s="122"/>
      <c r="B45" s="122"/>
      <c r="C45" s="122"/>
      <c r="D45" s="122"/>
      <c r="E45" s="117"/>
      <c r="F45" s="123"/>
      <c r="G45" s="121"/>
      <c r="H45" s="124"/>
      <c r="I45" s="119"/>
      <c r="J45" s="118"/>
      <c r="O45" s="283"/>
      <c r="P45" s="283"/>
      <c r="Q45" s="283"/>
    </row>
    <row r="46" spans="1:24" x14ac:dyDescent="0.2">
      <c r="A46" s="280" t="s">
        <v>42</v>
      </c>
      <c r="B46" s="79"/>
      <c r="C46" s="79"/>
      <c r="D46" s="79"/>
      <c r="E46" s="75"/>
      <c r="F46" s="75"/>
      <c r="G46" s="281"/>
      <c r="H46" s="282"/>
      <c r="I46" s="282"/>
      <c r="J46" s="282"/>
      <c r="O46" s="570"/>
      <c r="P46" s="570"/>
      <c r="Q46" s="570"/>
      <c r="R46" s="570"/>
      <c r="S46" s="570"/>
      <c r="T46" s="570"/>
      <c r="U46" s="570"/>
      <c r="V46" s="570"/>
      <c r="W46" s="570"/>
      <c r="X46" s="570"/>
    </row>
    <row r="47" spans="1:24" x14ac:dyDescent="0.2">
      <c r="A47" s="531" t="s">
        <v>302</v>
      </c>
      <c r="B47" s="531"/>
      <c r="C47" s="531"/>
      <c r="D47" s="532"/>
      <c r="E47" s="532"/>
      <c r="F47" s="533"/>
      <c r="G47" s="534"/>
      <c r="H47" s="534"/>
      <c r="I47" s="534"/>
      <c r="J47" s="534"/>
      <c r="O47" s="283"/>
      <c r="P47" s="283"/>
      <c r="Q47" s="283"/>
    </row>
    <row r="48" spans="1:24" ht="34.15" customHeight="1" x14ac:dyDescent="0.2">
      <c r="A48" s="571" t="s">
        <v>303</v>
      </c>
      <c r="B48" s="571"/>
      <c r="C48" s="571"/>
      <c r="D48" s="571"/>
      <c r="E48" s="571"/>
      <c r="F48" s="571"/>
      <c r="G48" s="571"/>
      <c r="H48" s="571"/>
      <c r="I48" s="571"/>
      <c r="J48" s="571"/>
      <c r="O48" s="570"/>
      <c r="P48" s="570"/>
      <c r="Q48" s="570"/>
      <c r="R48" s="570"/>
      <c r="S48" s="570"/>
      <c r="T48" s="570"/>
      <c r="U48" s="570"/>
      <c r="V48" s="570"/>
      <c r="W48" s="570"/>
      <c r="X48" s="570"/>
    </row>
    <row r="49" spans="1:24" ht="16.899999999999999" customHeight="1" x14ac:dyDescent="0.2">
      <c r="A49" s="571" t="s">
        <v>304</v>
      </c>
      <c r="B49" s="571"/>
      <c r="C49" s="571"/>
      <c r="D49" s="571"/>
      <c r="E49" s="571"/>
      <c r="F49" s="571"/>
      <c r="G49" s="571"/>
      <c r="H49" s="571"/>
      <c r="I49" s="571"/>
      <c r="J49" s="571"/>
      <c r="O49" s="284"/>
      <c r="P49" s="283"/>
      <c r="Q49" s="283"/>
    </row>
    <row r="50" spans="1:24" ht="27" customHeight="1" x14ac:dyDescent="0.2">
      <c r="A50" s="571" t="s">
        <v>305</v>
      </c>
      <c r="B50" s="571"/>
      <c r="C50" s="571"/>
      <c r="D50" s="571"/>
      <c r="E50" s="571"/>
      <c r="F50" s="571"/>
      <c r="G50" s="571"/>
      <c r="H50" s="571"/>
      <c r="I50" s="571"/>
      <c r="J50" s="571"/>
      <c r="O50" s="280"/>
      <c r="P50" s="283"/>
      <c r="Q50" s="62"/>
    </row>
    <row r="51" spans="1:24" ht="25.5" customHeight="1" x14ac:dyDescent="0.2">
      <c r="A51" s="570" t="s">
        <v>306</v>
      </c>
      <c r="B51" s="570"/>
      <c r="C51" s="570"/>
      <c r="D51" s="570"/>
      <c r="E51" s="570"/>
      <c r="F51" s="570"/>
      <c r="G51" s="570"/>
      <c r="H51" s="570"/>
      <c r="I51" s="570"/>
      <c r="J51" s="570"/>
      <c r="O51" s="86"/>
      <c r="P51" s="283"/>
      <c r="Q51" s="285"/>
      <c r="X51" s="286"/>
    </row>
    <row r="52" spans="1:24" ht="6" customHeight="1" x14ac:dyDescent="0.2">
      <c r="A52" s="284"/>
      <c r="B52" s="283"/>
      <c r="C52" s="283"/>
      <c r="O52" s="283"/>
      <c r="P52" s="283"/>
      <c r="Q52" s="283"/>
    </row>
    <row r="53" spans="1:24" x14ac:dyDescent="0.2">
      <c r="A53" s="280" t="s">
        <v>43</v>
      </c>
      <c r="B53" s="283"/>
      <c r="C53" s="62" t="str">
        <f>+DATOS!E34</f>
        <v>Ref. Informe XX-26 XX, sobre la gravedad especifica</v>
      </c>
      <c r="O53" s="86"/>
      <c r="P53" s="86"/>
      <c r="Q53" s="86"/>
      <c r="R53" s="372"/>
      <c r="S53" s="79"/>
      <c r="T53" s="125"/>
      <c r="U53" s="79"/>
      <c r="V53" s="79"/>
      <c r="W53" s="79"/>
      <c r="X53" s="79"/>
    </row>
    <row r="54" spans="1:24" x14ac:dyDescent="0.2">
      <c r="A54" s="86"/>
      <c r="B54" s="283"/>
      <c r="C54" s="285"/>
      <c r="J54" s="286"/>
      <c r="O54" s="86"/>
      <c r="P54" s="86"/>
      <c r="Q54" s="86"/>
      <c r="R54" s="372"/>
      <c r="S54" s="79"/>
      <c r="T54" s="125"/>
      <c r="U54" s="79"/>
      <c r="V54" s="79"/>
      <c r="W54" s="79"/>
      <c r="X54" s="140"/>
    </row>
    <row r="55" spans="1:24" ht="54.75" customHeight="1" x14ac:dyDescent="0.2">
      <c r="A55" s="283"/>
      <c r="B55" s="283"/>
      <c r="C55" s="283"/>
    </row>
    <row r="56" spans="1:24" x14ac:dyDescent="0.2">
      <c r="A56" s="86"/>
      <c r="B56" s="86"/>
      <c r="C56" s="86"/>
      <c r="D56" s="372"/>
      <c r="E56" s="79"/>
      <c r="F56" s="125"/>
      <c r="G56" s="79"/>
      <c r="H56" s="79"/>
      <c r="I56" s="79"/>
      <c r="J56" s="79"/>
    </row>
    <row r="57" spans="1:24" x14ac:dyDescent="0.2">
      <c r="J57" s="286"/>
    </row>
    <row r="58" spans="1:24" x14ac:dyDescent="0.2">
      <c r="A58" s="86" t="s">
        <v>227</v>
      </c>
      <c r="J58" s="286"/>
    </row>
    <row r="59" spans="1:24" x14ac:dyDescent="0.2">
      <c r="A59" s="86" t="s">
        <v>307</v>
      </c>
      <c r="J59" s="286" t="s">
        <v>44</v>
      </c>
    </row>
    <row r="74" spans="1:10" x14ac:dyDescent="0.2">
      <c r="J74" s="286"/>
    </row>
    <row r="75" spans="1:10" x14ac:dyDescent="0.2">
      <c r="A75" s="86"/>
    </row>
    <row r="76" spans="1:10" ht="18" customHeight="1" x14ac:dyDescent="0.2">
      <c r="A76" s="86"/>
    </row>
  </sheetData>
  <sheetProtection algorithmName="SHA-512" hashValue="Ts4d49TNSWpg2sdvEjkILbMSx4T8RkED1SfsZvBDG5gcr7QRugl1CdqjWdP6Hrk2Mnx1EYED7NxE6qG5D8A7mA==" saltValue="lQhErSeZhR72DZa7I0wuRA==" spinCount="100000" sheet="1" objects="1" scenarios="1"/>
  <protectedRanges>
    <protectedRange sqref="E12" name="Rango3_3_1_1_1_1_1_1_1_1"/>
    <protectedRange sqref="E7:E9" name="Rango3_3_1_1_1_1_1_1_1_1_2"/>
    <protectedRange sqref="E5:E6" name="Rango3_3_1_1_1_1_1_2_1_1"/>
    <protectedRange sqref="C8" name="Rango3_3_1_1_1_1_1_1_1_1_1_1_1_2_1_1_2_1_1_1_1_1_1_1_1_1_1_1_1"/>
  </protectedRanges>
  <mergeCells count="24">
    <mergeCell ref="A2:J2"/>
    <mergeCell ref="A3:J3"/>
    <mergeCell ref="A11:J11"/>
    <mergeCell ref="A34:J34"/>
    <mergeCell ref="A26:J26"/>
    <mergeCell ref="E19:H19"/>
    <mergeCell ref="A24:E24"/>
    <mergeCell ref="F24:G24"/>
    <mergeCell ref="E32:G32"/>
    <mergeCell ref="I32:J32"/>
    <mergeCell ref="A10:J10"/>
    <mergeCell ref="A13:J13"/>
    <mergeCell ref="C5:G5"/>
    <mergeCell ref="O46:X46"/>
    <mergeCell ref="O48:X48"/>
    <mergeCell ref="C8:G8"/>
    <mergeCell ref="A48:J48"/>
    <mergeCell ref="A50:J50"/>
    <mergeCell ref="A51:J51"/>
    <mergeCell ref="A49:J49"/>
    <mergeCell ref="I40:J40"/>
    <mergeCell ref="C6:G6"/>
    <mergeCell ref="C7:G7"/>
    <mergeCell ref="A36:E36"/>
  </mergeCells>
  <conditionalFormatting sqref="A42:A44">
    <cfRule type="cellIs" priority="2" stopIfTrue="1" operator="between">
      <formula>5</formula>
      <formula>10</formula>
    </cfRule>
  </conditionalFormatting>
  <dataValidations count="1">
    <dataValidation type="list" allowBlank="1" showInputMessage="1" showErrorMessage="1" sqref="A36:E36" xr:uid="{00000000-0002-0000-0000-000002000000}">
      <formula1>"-,Gravedad específica base seca (ASTM C128-22), Gravedad específica base seca (ASTM C127-15)"</formula1>
    </dataValidation>
  </dataValidations>
  <printOptions horizontalCentered="1"/>
  <pageMargins left="0" right="0" top="1.0629921259842521" bottom="0" header="0.11811023622047245" footer="0"/>
  <pageSetup paperSize="274" scale="87" orientation="portrait" r:id="rId1"/>
  <headerFooter scaleWithDoc="0">
    <oddHeader>&amp;C&amp;G</oddHeader>
  </headerFooter>
  <rowBreaks count="1" manualBreakCount="1">
    <brk id="59" max="9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8"/>
  <sheetViews>
    <sheetView showGridLines="0" tabSelected="1" zoomScaleNormal="100" zoomScaleSheetLayoutView="100" workbookViewId="0">
      <selection activeCell="N10" sqref="N10"/>
    </sheetView>
  </sheetViews>
  <sheetFormatPr baseColWidth="10" defaultColWidth="10.28515625" defaultRowHeight="15" x14ac:dyDescent="0.2"/>
  <cols>
    <col min="1" max="1" width="4" style="49" customWidth="1"/>
    <col min="2" max="4" width="10.28515625" style="49"/>
    <col min="5" max="5" width="13.42578125" style="49" bestFit="1" customWidth="1"/>
    <col min="6" max="6" width="11.140625" style="49" customWidth="1"/>
    <col min="7" max="7" width="10.28515625" style="49"/>
    <col min="8" max="8" width="11.140625" style="49" customWidth="1"/>
    <col min="9" max="9" width="11.140625" style="49" bestFit="1" customWidth="1"/>
    <col min="10" max="10" width="11" style="49" customWidth="1"/>
    <col min="11" max="11" width="11.28515625" style="49" customWidth="1"/>
    <col min="12" max="12" width="6.28515625" style="172" customWidth="1"/>
    <col min="13" max="13" width="16.7109375" style="49" customWidth="1"/>
    <col min="14" max="16384" width="10.28515625" style="49"/>
  </cols>
  <sheetData>
    <row r="1" spans="1:12" ht="19.5" customHeight="1" x14ac:dyDescent="0.2"/>
    <row r="2" spans="1:12" ht="15.95" customHeight="1" x14ac:dyDescent="0.2">
      <c r="A2" s="586" t="s">
        <v>10</v>
      </c>
      <c r="B2" s="587"/>
      <c r="C2" s="587"/>
      <c r="D2" s="587"/>
      <c r="E2" s="587"/>
      <c r="F2" s="587"/>
      <c r="G2" s="587"/>
      <c r="H2" s="587"/>
      <c r="I2" s="587"/>
      <c r="J2" s="588"/>
    </row>
    <row r="3" spans="1:12" ht="15.95" customHeight="1" x14ac:dyDescent="0.2">
      <c r="A3" s="577" t="s">
        <v>235</v>
      </c>
      <c r="B3" s="578"/>
      <c r="C3" s="578"/>
      <c r="D3" s="578"/>
      <c r="E3" s="578"/>
      <c r="F3" s="578"/>
      <c r="G3" s="578"/>
      <c r="H3" s="578"/>
      <c r="I3" s="578"/>
      <c r="J3" s="579"/>
    </row>
    <row r="4" spans="1:12" ht="17.25" customHeight="1" x14ac:dyDescent="0.2"/>
    <row r="5" spans="1:12" ht="17.25" customHeight="1" x14ac:dyDescent="0.2">
      <c r="B5" s="362" t="s">
        <v>45</v>
      </c>
      <c r="C5" s="350"/>
      <c r="D5" s="350"/>
      <c r="E5" s="350"/>
      <c r="F5" s="350"/>
      <c r="G5" s="350" t="s">
        <v>46</v>
      </c>
      <c r="H5" s="350"/>
      <c r="I5" s="351">
        <f>IF(F18&lt;=2,E7,E12)</f>
        <v>-1.4899999999999999E-6</v>
      </c>
      <c r="J5" s="352"/>
      <c r="K5" s="423" t="s">
        <v>228</v>
      </c>
      <c r="L5" s="294"/>
    </row>
    <row r="6" spans="1:12" ht="17.25" customHeight="1" x14ac:dyDescent="0.2">
      <c r="B6" s="363" t="s">
        <v>47</v>
      </c>
      <c r="C6" s="354"/>
      <c r="D6" s="354"/>
      <c r="E6" s="354"/>
      <c r="F6" s="354"/>
      <c r="G6" s="354"/>
      <c r="H6" s="354"/>
      <c r="I6" s="353"/>
      <c r="J6" s="355"/>
      <c r="K6" s="448" t="s">
        <v>16</v>
      </c>
      <c r="L6" s="515">
        <f>+FORMATO!I11</f>
        <v>0</v>
      </c>
    </row>
    <row r="7" spans="1:12" ht="17.25" customHeight="1" x14ac:dyDescent="0.2">
      <c r="B7" s="363" t="s">
        <v>48</v>
      </c>
      <c r="C7" s="354"/>
      <c r="D7" s="354"/>
      <c r="E7" s="304">
        <f>+Balanza!C8</f>
        <v>-1.4899999999999999E-6</v>
      </c>
      <c r="F7" s="354"/>
      <c r="G7" s="354"/>
      <c r="H7" s="354"/>
      <c r="I7" s="353"/>
      <c r="J7" s="355"/>
      <c r="K7" s="171"/>
      <c r="L7" s="294"/>
    </row>
    <row r="8" spans="1:12" ht="17.25" customHeight="1" x14ac:dyDescent="0.2">
      <c r="B8" s="363" t="s">
        <v>49</v>
      </c>
      <c r="C8" s="354"/>
      <c r="D8" s="354"/>
      <c r="E8" s="117" t="str">
        <f>+Balanza!C12</f>
        <v>EQP-0054</v>
      </c>
      <c r="F8" s="354"/>
      <c r="G8" s="354"/>
      <c r="H8" s="354"/>
      <c r="I8" s="353"/>
      <c r="J8" s="355"/>
      <c r="K8" s="171"/>
      <c r="L8" s="294"/>
    </row>
    <row r="9" spans="1:12" ht="17.25" customHeight="1" x14ac:dyDescent="0.2">
      <c r="B9" s="363" t="s">
        <v>51</v>
      </c>
      <c r="C9" s="354"/>
      <c r="D9" s="354"/>
      <c r="E9" s="356">
        <f>+Balanza!D13</f>
        <v>46160</v>
      </c>
      <c r="F9" s="354"/>
      <c r="G9" s="354"/>
      <c r="H9" s="354"/>
      <c r="I9" s="353"/>
      <c r="J9" s="355"/>
      <c r="K9" s="171"/>
      <c r="L9" s="294"/>
    </row>
    <row r="10" spans="1:12" ht="17.25" customHeight="1" x14ac:dyDescent="0.2">
      <c r="A10" s="60"/>
      <c r="B10" s="362" t="s">
        <v>45</v>
      </c>
      <c r="C10" s="350"/>
      <c r="D10" s="350"/>
      <c r="E10" s="155"/>
      <c r="F10" s="350"/>
      <c r="G10" s="350" t="s">
        <v>52</v>
      </c>
      <c r="H10" s="350"/>
      <c r="I10" s="349"/>
      <c r="J10" s="357"/>
    </row>
    <row r="11" spans="1:12" ht="17.25" customHeight="1" x14ac:dyDescent="0.2">
      <c r="A11" s="60"/>
      <c r="B11" s="363" t="s">
        <v>53</v>
      </c>
      <c r="C11" s="354"/>
      <c r="D11" s="354"/>
      <c r="E11" s="117"/>
      <c r="F11" s="354"/>
      <c r="G11" s="354"/>
      <c r="H11" s="354"/>
      <c r="I11" s="353"/>
      <c r="J11" s="355"/>
    </row>
    <row r="12" spans="1:12" ht="17.25" customHeight="1" x14ac:dyDescent="0.2">
      <c r="A12" s="60"/>
      <c r="B12" s="363" t="s">
        <v>48</v>
      </c>
      <c r="C12" s="354"/>
      <c r="D12" s="354"/>
      <c r="E12" s="304">
        <f>+Balanza!N8</f>
        <v>-7.7300000000000005E-6</v>
      </c>
      <c r="F12" s="354"/>
      <c r="G12" s="354"/>
      <c r="H12" s="354"/>
      <c r="I12" s="353"/>
      <c r="J12" s="355"/>
    </row>
    <row r="13" spans="1:12" ht="17.25" customHeight="1" x14ac:dyDescent="0.2">
      <c r="A13" s="60"/>
      <c r="B13" s="363" t="s">
        <v>49</v>
      </c>
      <c r="C13" s="354"/>
      <c r="D13" s="354"/>
      <c r="E13" s="117" t="str">
        <f>+Balanza!N12</f>
        <v>EQP-0059</v>
      </c>
      <c r="F13" s="354"/>
      <c r="G13" s="354"/>
      <c r="H13" s="354"/>
      <c r="I13" s="353"/>
      <c r="J13" s="355"/>
    </row>
    <row r="14" spans="1:12" ht="17.25" customHeight="1" x14ac:dyDescent="0.2">
      <c r="A14" s="60"/>
      <c r="B14" s="364" t="s">
        <v>51</v>
      </c>
      <c r="C14" s="359"/>
      <c r="D14" s="359"/>
      <c r="E14" s="360">
        <f>+Balanza!O13</f>
        <v>46160</v>
      </c>
      <c r="F14" s="359"/>
      <c r="G14" s="359"/>
      <c r="H14" s="359"/>
      <c r="I14" s="358"/>
      <c r="J14" s="361"/>
    </row>
    <row r="15" spans="1:12" ht="17.25" customHeight="1" x14ac:dyDescent="0.2">
      <c r="A15" s="60"/>
      <c r="B15" s="60"/>
    </row>
    <row r="16" spans="1:12" ht="17.25" customHeight="1" x14ac:dyDescent="0.2">
      <c r="A16" s="61"/>
      <c r="B16" s="603" t="s">
        <v>212</v>
      </c>
      <c r="C16" s="603"/>
      <c r="D16" s="546" t="s">
        <v>20</v>
      </c>
      <c r="E16" s="547"/>
      <c r="F16" s="547"/>
      <c r="G16" s="547"/>
      <c r="H16" s="548"/>
      <c r="I16" s="61"/>
      <c r="J16" s="348" t="s">
        <v>55</v>
      </c>
      <c r="K16" s="348" t="s">
        <v>56</v>
      </c>
    </row>
    <row r="17" spans="1:12" ht="17.25" customHeight="1" x14ac:dyDescent="0.2">
      <c r="A17" s="61"/>
      <c r="B17" s="604" t="s">
        <v>308</v>
      </c>
      <c r="C17" s="605"/>
      <c r="D17" s="180" t="s">
        <v>57</v>
      </c>
      <c r="E17" s="181"/>
      <c r="F17" s="103" t="s">
        <v>58</v>
      </c>
      <c r="G17" s="139" t="s">
        <v>59</v>
      </c>
      <c r="H17" s="103" t="s">
        <v>60</v>
      </c>
      <c r="I17" s="63"/>
      <c r="J17" s="347">
        <v>1</v>
      </c>
      <c r="K17" s="347" t="s">
        <v>61</v>
      </c>
      <c r="L17" s="295"/>
    </row>
    <row r="18" spans="1:12" ht="17.25" customHeight="1" x14ac:dyDescent="0.2">
      <c r="A18" s="61"/>
      <c r="C18" s="61"/>
      <c r="D18" s="153" t="s">
        <v>62</v>
      </c>
      <c r="E18" s="178"/>
      <c r="F18" s="342">
        <f>+FORMATO!G17</f>
        <v>0</v>
      </c>
      <c r="G18" s="139" t="s">
        <v>16</v>
      </c>
      <c r="H18" s="177" t="s">
        <v>22</v>
      </c>
      <c r="I18" s="63"/>
      <c r="J18" s="347">
        <v>2</v>
      </c>
      <c r="K18" s="347" t="s">
        <v>61</v>
      </c>
      <c r="L18" s="295"/>
    </row>
    <row r="19" spans="1:12" ht="17.25" customHeight="1" x14ac:dyDescent="0.2">
      <c r="A19" s="61"/>
      <c r="B19" s="61"/>
      <c r="C19" s="61"/>
      <c r="D19" s="163" t="s">
        <v>63</v>
      </c>
      <c r="E19" s="179"/>
      <c r="F19" s="342">
        <f>+FORMATO!G18</f>
        <v>0</v>
      </c>
      <c r="G19" s="108">
        <f>+IF($F$18&lt;=3,F19+$E$7*F19,F19+$E$12*F19)</f>
        <v>0</v>
      </c>
      <c r="H19" s="151" t="s">
        <v>24</v>
      </c>
      <c r="J19" s="347">
        <v>3</v>
      </c>
      <c r="K19" s="347" t="s">
        <v>64</v>
      </c>
      <c r="L19" s="295"/>
    </row>
    <row r="20" spans="1:12" ht="17.25" customHeight="1" x14ac:dyDescent="0.2">
      <c r="A20" s="61"/>
      <c r="B20" s="61"/>
      <c r="C20" s="61"/>
      <c r="D20" s="163" t="s">
        <v>25</v>
      </c>
      <c r="E20" s="179"/>
      <c r="F20" s="342">
        <f>+FORMATO!G19</f>
        <v>0</v>
      </c>
      <c r="G20" s="392">
        <f>F20</f>
        <v>0</v>
      </c>
      <c r="H20" s="151" t="s">
        <v>65</v>
      </c>
      <c r="J20" s="347">
        <v>4</v>
      </c>
      <c r="K20" s="347" t="s">
        <v>64</v>
      </c>
    </row>
    <row r="21" spans="1:12" ht="10.5" customHeight="1" x14ac:dyDescent="0.2">
      <c r="A21" s="61"/>
      <c r="B21" s="61"/>
      <c r="C21" s="61"/>
      <c r="D21" s="61"/>
      <c r="E21" s="61"/>
      <c r="F21" s="61"/>
      <c r="G21" s="61"/>
      <c r="H21" s="61"/>
    </row>
    <row r="22" spans="1:12" ht="17.25" customHeight="1" x14ac:dyDescent="0.2">
      <c r="A22" s="61"/>
      <c r="B22" s="100" t="s">
        <v>29</v>
      </c>
      <c r="C22" s="173"/>
      <c r="D22" s="174"/>
      <c r="E22" s="602">
        <v>1</v>
      </c>
      <c r="F22" s="602"/>
      <c r="G22" s="602">
        <v>2</v>
      </c>
      <c r="H22" s="602"/>
      <c r="I22" s="602">
        <v>3</v>
      </c>
      <c r="J22" s="602"/>
      <c r="K22" s="600" t="s">
        <v>30</v>
      </c>
    </row>
    <row r="23" spans="1:12" ht="17.25" customHeight="1" x14ac:dyDescent="0.2">
      <c r="A23" s="61"/>
      <c r="B23" s="366" t="s">
        <v>57</v>
      </c>
      <c r="C23" s="101"/>
      <c r="D23" s="102"/>
      <c r="E23" s="87" t="s">
        <v>66</v>
      </c>
      <c r="F23" s="365" t="s">
        <v>67</v>
      </c>
      <c r="G23" s="87" t="s">
        <v>66</v>
      </c>
      <c r="H23" s="365" t="s">
        <v>67</v>
      </c>
      <c r="I23" s="87" t="s">
        <v>66</v>
      </c>
      <c r="J23" s="365" t="s">
        <v>67</v>
      </c>
      <c r="K23" s="601"/>
    </row>
    <row r="24" spans="1:12" ht="19.149999999999999" customHeight="1" x14ac:dyDescent="0.2">
      <c r="A24" s="61"/>
      <c r="B24" s="83" t="s">
        <v>31</v>
      </c>
      <c r="C24" s="106"/>
      <c r="D24" s="107"/>
      <c r="E24" s="343">
        <f>+FORMATO!G27</f>
        <v>0</v>
      </c>
      <c r="F24" s="108">
        <f>+IF($F$18&lt;=2,E24+$E$7*E24,E24+$E$12*E24)</f>
        <v>0</v>
      </c>
      <c r="G24" s="343">
        <f>+FORMATO!H27</f>
        <v>0</v>
      </c>
      <c r="H24" s="108">
        <f>+IF($F$18&lt;=2,G24+$E$7*G24,G24+$E$12*G24)</f>
        <v>0</v>
      </c>
      <c r="I24" s="343">
        <f>+FORMATO!J27</f>
        <v>0</v>
      </c>
      <c r="J24" s="108">
        <f>+IF($F$18&lt;=2,I24+$E$7*I24,I24+$E$12*I24)</f>
        <v>0</v>
      </c>
      <c r="K24" s="85" t="s">
        <v>24</v>
      </c>
    </row>
    <row r="25" spans="1:12" ht="19.149999999999999" customHeight="1" x14ac:dyDescent="0.2">
      <c r="A25" s="61"/>
      <c r="B25" s="109" t="s">
        <v>32</v>
      </c>
      <c r="C25" s="110"/>
      <c r="D25" s="111"/>
      <c r="E25" s="89">
        <f>E24-$F$19</f>
        <v>0</v>
      </c>
      <c r="F25" s="89">
        <f>F24-$G$19</f>
        <v>0</v>
      </c>
      <c r="G25" s="89">
        <f>G24-$F$19</f>
        <v>0</v>
      </c>
      <c r="H25" s="89">
        <f>H24-$G$19</f>
        <v>0</v>
      </c>
      <c r="I25" s="89">
        <f>I24-$F$19</f>
        <v>0</v>
      </c>
      <c r="J25" s="89">
        <f>J24-$G$19</f>
        <v>0</v>
      </c>
      <c r="K25" s="84" t="s">
        <v>24</v>
      </c>
    </row>
    <row r="26" spans="1:12" ht="19.149999999999999" customHeight="1" x14ac:dyDescent="0.2">
      <c r="A26" s="61"/>
      <c r="B26" s="92" t="s">
        <v>33</v>
      </c>
      <c r="C26" s="112"/>
      <c r="D26" s="113"/>
      <c r="E26" s="141" t="e">
        <f>E25/$F$20</f>
        <v>#DIV/0!</v>
      </c>
      <c r="F26" s="141" t="e">
        <f>F25/$G$20</f>
        <v>#DIV/0!</v>
      </c>
      <c r="G26" s="141" t="e">
        <f>G25/$F$20</f>
        <v>#DIV/0!</v>
      </c>
      <c r="H26" s="141" t="e">
        <f t="shared" ref="H26:J26" si="0">H25/$G$20</f>
        <v>#DIV/0!</v>
      </c>
      <c r="I26" s="141" t="e">
        <f>I25/$F$20</f>
        <v>#DIV/0!</v>
      </c>
      <c r="J26" s="141" t="e">
        <f t="shared" si="0"/>
        <v>#DIV/0!</v>
      </c>
      <c r="K26" s="93" t="s">
        <v>68</v>
      </c>
    </row>
    <row r="27" spans="1:12" ht="18" customHeight="1" x14ac:dyDescent="0.2">
      <c r="A27" s="61"/>
      <c r="B27" s="184"/>
      <c r="C27" s="61"/>
      <c r="D27" s="61"/>
      <c r="E27" s="61"/>
      <c r="F27" s="61"/>
      <c r="G27" s="61"/>
      <c r="H27" s="61"/>
      <c r="I27" s="65"/>
      <c r="J27" s="65"/>
    </row>
    <row r="28" spans="1:12" ht="19.149999999999999" customHeight="1" x14ac:dyDescent="0.2">
      <c r="A28" s="61"/>
      <c r="B28" s="546" t="s">
        <v>36</v>
      </c>
      <c r="C28" s="547"/>
      <c r="D28" s="547"/>
      <c r="E28" s="547"/>
      <c r="F28" s="547"/>
      <c r="G28" s="547"/>
      <c r="H28" s="547"/>
      <c r="I28" s="547"/>
      <c r="J28" s="547"/>
      <c r="K28" s="548"/>
    </row>
    <row r="29" spans="1:12" ht="19.149999999999999" customHeight="1" x14ac:dyDescent="0.2">
      <c r="A29" s="61"/>
      <c r="B29" s="92" t="s">
        <v>33</v>
      </c>
      <c r="C29" s="112"/>
      <c r="D29" s="112"/>
      <c r="E29" s="112"/>
      <c r="F29" s="152" t="e">
        <f>F25/$G$20</f>
        <v>#DIV/0!</v>
      </c>
      <c r="G29" s="391"/>
      <c r="H29" s="152" t="e">
        <f>H25/$G$20</f>
        <v>#DIV/0!</v>
      </c>
      <c r="I29" s="391"/>
      <c r="J29" s="152" t="e">
        <f>J25/$G$20</f>
        <v>#DIV/0!</v>
      </c>
      <c r="K29" s="115" t="s">
        <v>34</v>
      </c>
    </row>
    <row r="30" spans="1:12" ht="19.149999999999999" customHeight="1" x14ac:dyDescent="0.2">
      <c r="A30" s="61"/>
      <c r="B30" s="153" t="s">
        <v>37</v>
      </c>
      <c r="C30" s="154"/>
      <c r="D30" s="154"/>
      <c r="E30" s="154"/>
      <c r="F30" s="369">
        <f>+FORMATO!G34</f>
        <v>0</v>
      </c>
      <c r="G30" s="186"/>
      <c r="H30" s="185">
        <f>+F30</f>
        <v>0</v>
      </c>
      <c r="I30" s="186"/>
      <c r="J30" s="185">
        <f>+F30</f>
        <v>0</v>
      </c>
      <c r="K30" s="158" t="s">
        <v>16</v>
      </c>
      <c r="L30" s="172" t="s">
        <v>236</v>
      </c>
    </row>
    <row r="31" spans="1:12" ht="19.149999999999999" customHeight="1" x14ac:dyDescent="0.2">
      <c r="A31" s="61"/>
      <c r="B31" s="163" t="s">
        <v>38</v>
      </c>
      <c r="C31" s="164"/>
      <c r="D31" s="164"/>
      <c r="E31" s="164"/>
      <c r="F31" s="152">
        <v>998</v>
      </c>
      <c r="G31" s="186"/>
      <c r="H31" s="152">
        <f>+F31</f>
        <v>998</v>
      </c>
      <c r="I31" s="186"/>
      <c r="J31" s="152">
        <f>+F31</f>
        <v>998</v>
      </c>
      <c r="K31" s="370" t="s">
        <v>34</v>
      </c>
    </row>
    <row r="32" spans="1:12" ht="19.149999999999999" customHeight="1" x14ac:dyDescent="0.2">
      <c r="A32" s="61"/>
      <c r="B32" s="159" t="s">
        <v>39</v>
      </c>
      <c r="C32" s="95"/>
      <c r="D32" s="95"/>
      <c r="E32" s="95"/>
      <c r="F32" s="152" t="e">
        <f>(100*((F30*F31)-F29)/(F30*F31))</f>
        <v>#DIV/0!</v>
      </c>
      <c r="G32" s="186"/>
      <c r="H32" s="152" t="e">
        <f>(100*((H30*H31)-H29)/(H30*H31))</f>
        <v>#DIV/0!</v>
      </c>
      <c r="I32" s="186"/>
      <c r="J32" s="152" t="e">
        <f>(100*((J30*J31)-J29)/(J30*J31))</f>
        <v>#DIV/0!</v>
      </c>
      <c r="K32" s="162" t="s">
        <v>40</v>
      </c>
    </row>
    <row r="33" spans="1:10" ht="6" customHeight="1" x14ac:dyDescent="0.2">
      <c r="A33" s="61"/>
      <c r="B33" s="61"/>
      <c r="C33" s="61"/>
      <c r="D33" s="61"/>
      <c r="E33" s="61"/>
      <c r="F33" s="61"/>
      <c r="G33" s="61"/>
      <c r="H33" s="61"/>
    </row>
    <row r="34" spans="1:10" ht="18.600000000000001" customHeight="1" x14ac:dyDescent="0.2">
      <c r="A34" s="61"/>
      <c r="B34" s="116" t="s">
        <v>233</v>
      </c>
      <c r="C34" s="61"/>
      <c r="D34" s="61"/>
      <c r="E34" s="424" t="s">
        <v>243</v>
      </c>
      <c r="F34" s="61"/>
      <c r="G34" s="61"/>
      <c r="H34" s="61"/>
      <c r="I34" s="13"/>
      <c r="J34" s="13"/>
    </row>
    <row r="35" spans="1:10" ht="18.600000000000001" customHeight="1" x14ac:dyDescent="0.2">
      <c r="A35" s="61"/>
      <c r="B35" s="116" t="s">
        <v>69</v>
      </c>
      <c r="C35" s="354"/>
      <c r="D35" s="354"/>
      <c r="E35" s="61"/>
      <c r="F35" s="61"/>
      <c r="G35" s="61"/>
      <c r="H35" s="61"/>
      <c r="I35" s="13"/>
      <c r="J35" s="13"/>
    </row>
    <row r="36" spans="1:10" ht="18.600000000000001" customHeight="1" x14ac:dyDescent="0.2">
      <c r="A36" s="61"/>
      <c r="B36" s="116" t="s">
        <v>70</v>
      </c>
      <c r="C36" s="354"/>
      <c r="D36" s="369">
        <v>0.01</v>
      </c>
      <c r="E36" s="61"/>
      <c r="F36" s="61"/>
      <c r="G36" s="61"/>
      <c r="H36" s="61"/>
    </row>
    <row r="37" spans="1:10" ht="17.25" customHeight="1" x14ac:dyDescent="0.2">
      <c r="A37" s="61"/>
      <c r="C37" s="61"/>
      <c r="D37" s="61"/>
      <c r="E37" s="61"/>
      <c r="F37" s="61"/>
      <c r="G37" s="61"/>
      <c r="H37" s="61"/>
      <c r="I37" s="64"/>
      <c r="J37" s="64"/>
    </row>
    <row r="38" spans="1:10" ht="17.25" customHeight="1" x14ac:dyDescent="0.2">
      <c r="A38" s="61"/>
      <c r="B38" s="596" t="s">
        <v>222</v>
      </c>
      <c r="C38" s="596"/>
      <c r="D38" s="597" t="s">
        <v>214</v>
      </c>
      <c r="E38" s="598"/>
      <c r="F38" s="598"/>
      <c r="G38" s="599"/>
      <c r="H38" s="593" t="s">
        <v>217</v>
      </c>
      <c r="I38" s="65"/>
      <c r="J38" s="65"/>
    </row>
    <row r="39" spans="1:10" ht="23.25" customHeight="1" x14ac:dyDescent="0.2">
      <c r="A39" s="61"/>
      <c r="B39" s="596"/>
      <c r="C39" s="596"/>
      <c r="D39" s="597" t="s">
        <v>215</v>
      </c>
      <c r="E39" s="599"/>
      <c r="F39" s="597" t="s">
        <v>216</v>
      </c>
      <c r="G39" s="599"/>
      <c r="H39" s="594"/>
      <c r="I39" s="65"/>
      <c r="J39" s="415" t="s">
        <v>223</v>
      </c>
    </row>
    <row r="40" spans="1:10" ht="18" customHeight="1" x14ac:dyDescent="0.2">
      <c r="A40" s="61"/>
      <c r="B40" s="596"/>
      <c r="C40" s="596"/>
      <c r="D40" s="405" t="s">
        <v>218</v>
      </c>
      <c r="E40" s="405" t="s">
        <v>219</v>
      </c>
      <c r="F40" s="405" t="s">
        <v>218</v>
      </c>
      <c r="G40" s="405" t="s">
        <v>219</v>
      </c>
      <c r="H40" s="595"/>
      <c r="I40" s="65"/>
      <c r="J40" s="416" t="e">
        <f>+F26</f>
        <v>#DIV/0!</v>
      </c>
    </row>
    <row r="41" spans="1:10" ht="23.25" customHeight="1" x14ac:dyDescent="0.2">
      <c r="A41" s="61"/>
      <c r="B41" s="596" t="s">
        <v>220</v>
      </c>
      <c r="C41" s="596"/>
      <c r="D41" s="408" t="e">
        <f>+STDEV(MAX(J40:J42),MIN(J40:J42))</f>
        <v>#DIV/0!</v>
      </c>
      <c r="E41" s="408" t="e">
        <f>D41*2.8</f>
        <v>#DIV/0!</v>
      </c>
      <c r="F41" s="405">
        <v>14</v>
      </c>
      <c r="G41" s="408">
        <v>40</v>
      </c>
      <c r="H41" s="409" t="e">
        <f>IF(E41&lt;G41, "cumple", "no cumple")</f>
        <v>#DIV/0!</v>
      </c>
      <c r="I41" s="65"/>
      <c r="J41" s="416" t="e">
        <f>+H26</f>
        <v>#DIV/0!</v>
      </c>
    </row>
    <row r="42" spans="1:10" ht="23.25" customHeight="1" x14ac:dyDescent="0.2">
      <c r="A42" s="61"/>
      <c r="B42" s="596" t="s">
        <v>221</v>
      </c>
      <c r="C42" s="596"/>
      <c r="D42" s="408" t="e">
        <f>+STDEV(MAX(J40:J42),MIN(J40:J42))</f>
        <v>#DIV/0!</v>
      </c>
      <c r="E42" s="408" t="e">
        <f>D42*2.8</f>
        <v>#DIV/0!</v>
      </c>
      <c r="F42" s="405">
        <v>14</v>
      </c>
      <c r="G42" s="408">
        <v>40</v>
      </c>
      <c r="H42" s="409" t="e">
        <f>IF(E42&lt;G42, "cumple", "no cumple")</f>
        <v>#DIV/0!</v>
      </c>
      <c r="I42" s="65"/>
      <c r="J42" s="416" t="e">
        <f>+J26</f>
        <v>#DIV/0!</v>
      </c>
    </row>
    <row r="43" spans="1:10" ht="18" customHeight="1" x14ac:dyDescent="0.2">
      <c r="A43" s="61"/>
      <c r="B43" s="61"/>
      <c r="C43" s="61"/>
      <c r="D43" s="61"/>
      <c r="E43" s="61"/>
      <c r="F43" s="61"/>
      <c r="G43" s="61"/>
      <c r="H43" s="61"/>
      <c r="I43" s="65"/>
      <c r="J43" s="65"/>
    </row>
    <row r="44" spans="1:10" ht="18" customHeight="1" x14ac:dyDescent="0.2">
      <c r="A44" s="61"/>
      <c r="B44" s="592">
        <f>+INFORME!E16</f>
        <v>0</v>
      </c>
      <c r="C44" s="592"/>
      <c r="D44" s="410" t="e">
        <f>+IF(B44="Agregado fino",H42,H41)</f>
        <v>#DIV/0!</v>
      </c>
      <c r="E44" s="61"/>
      <c r="F44" s="61"/>
      <c r="G44" s="61"/>
      <c r="H44" s="61"/>
      <c r="I44" s="65"/>
      <c r="J44" s="65"/>
    </row>
    <row r="45" spans="1:10" ht="23.25" customHeight="1" x14ac:dyDescent="0.2">
      <c r="A45" s="61"/>
      <c r="B45" s="61"/>
      <c r="C45" s="61"/>
      <c r="D45" s="61"/>
      <c r="E45" s="61"/>
      <c r="F45" s="61"/>
      <c r="G45" s="61"/>
      <c r="H45" s="61"/>
      <c r="I45" s="65"/>
      <c r="J45" s="65"/>
    </row>
    <row r="46" spans="1:10" x14ac:dyDescent="0.2">
      <c r="B46" s="280" t="s">
        <v>224</v>
      </c>
      <c r="C46" s="122"/>
      <c r="D46" s="122"/>
      <c r="E46" s="122"/>
      <c r="F46" s="117"/>
      <c r="G46" s="123"/>
    </row>
    <row r="47" spans="1:10" x14ac:dyDescent="0.2">
      <c r="B47" s="421" t="s">
        <v>225</v>
      </c>
      <c r="C47" s="122"/>
      <c r="D47" s="122"/>
      <c r="E47" s="422">
        <f>+FORMATO!G22</f>
        <v>0</v>
      </c>
      <c r="F47" s="117"/>
      <c r="G47" s="123"/>
    </row>
    <row r="48" spans="1:10" x14ac:dyDescent="0.2">
      <c r="B48" s="421" t="s">
        <v>226</v>
      </c>
      <c r="C48" s="122"/>
      <c r="D48" s="122"/>
      <c r="E48" s="422">
        <v>0</v>
      </c>
      <c r="F48" s="117"/>
      <c r="G48" s="123"/>
    </row>
  </sheetData>
  <sheetProtection algorithmName="SHA-512" hashValue="I9B8EYbqKnahkGEjcoqUz/MrMK3EPbCxVld6rPZi/Ard3aNVXIf3Dk4zIcavoWwLgP85HPcdk/qkMOu3j3Dvsw==" saltValue="SkZZEPLmUcfTtag3b+qQUw==" spinCount="100000" sheet="1" objects="1" scenarios="1"/>
  <mergeCells count="18">
    <mergeCell ref="K22:K23"/>
    <mergeCell ref="D16:H16"/>
    <mergeCell ref="B28:K28"/>
    <mergeCell ref="A2:J2"/>
    <mergeCell ref="A3:J3"/>
    <mergeCell ref="E22:F22"/>
    <mergeCell ref="G22:H22"/>
    <mergeCell ref="I22:J22"/>
    <mergeCell ref="B16:C16"/>
    <mergeCell ref="B17:C17"/>
    <mergeCell ref="B44:C44"/>
    <mergeCell ref="H38:H40"/>
    <mergeCell ref="B41:C41"/>
    <mergeCell ref="B42:C42"/>
    <mergeCell ref="D38:G38"/>
    <mergeCell ref="F39:G39"/>
    <mergeCell ref="D39:E39"/>
    <mergeCell ref="B38:C40"/>
  </mergeCells>
  <conditionalFormatting sqref="B46:B48">
    <cfRule type="cellIs" priority="1" stopIfTrue="1" operator="between">
      <formula>5</formula>
      <formula>10</formula>
    </cfRule>
  </conditionalFormatting>
  <dataValidations count="2">
    <dataValidation type="list" allowBlank="1" showInputMessage="1" showErrorMessage="1" sqref="B17" xr:uid="{46D0EF94-7F8F-45F7-83EB-B15280BDC9B1}">
      <formula1>"-,A Varillado,B Percusión,C Suelto"</formula1>
    </dataValidation>
    <dataValidation type="list" allowBlank="1" showInputMessage="1" showErrorMessage="1" sqref="K6" xr:uid="{00000000-0002-0000-0100-000001000000}">
      <formula1>"-, IVAN, DEIVY, BEATRIZ"</formula1>
    </dataValidation>
  </dataValidations>
  <printOptions horizontalCentered="1"/>
  <pageMargins left="0" right="0" top="1.0629921259842521" bottom="0" header="0.11811023622047245" footer="0"/>
  <pageSetup paperSize="274" scale="92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84"/>
  <sheetViews>
    <sheetView topLeftCell="A37" zoomScale="90" zoomScaleNormal="90" workbookViewId="0">
      <selection activeCell="B52" sqref="B52"/>
    </sheetView>
  </sheetViews>
  <sheetFormatPr baseColWidth="10" defaultColWidth="11.42578125" defaultRowHeight="12.75" x14ac:dyDescent="0.2"/>
  <cols>
    <col min="1" max="1" width="28.140625" style="373" customWidth="1"/>
    <col min="2" max="2" width="11.5703125" style="373" bestFit="1" customWidth="1"/>
    <col min="3" max="4" width="11.5703125" style="373" customWidth="1"/>
    <col min="5" max="5" width="14" style="373" customWidth="1"/>
    <col min="6" max="6" width="12.5703125" style="373" customWidth="1"/>
    <col min="7" max="7" width="12.7109375" style="373" customWidth="1"/>
    <col min="8" max="8" width="10.85546875" style="373" customWidth="1"/>
    <col min="9" max="12" width="14" style="373" customWidth="1"/>
    <col min="13" max="13" width="13.7109375" style="373" customWidth="1"/>
    <col min="14" max="14" width="15.28515625" style="373" customWidth="1"/>
    <col min="15" max="15" width="9.85546875" style="373" customWidth="1"/>
    <col min="16" max="19" width="14.42578125" style="373" customWidth="1"/>
    <col min="20" max="21" width="12.85546875" style="373" customWidth="1"/>
    <col min="22" max="16384" width="11.42578125" style="373"/>
  </cols>
  <sheetData>
    <row r="1" spans="1:19" ht="12.75" customHeight="1" x14ac:dyDescent="0.2">
      <c r="A1" s="607"/>
      <c r="B1" s="606" t="s">
        <v>71</v>
      </c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195" t="s">
        <v>72</v>
      </c>
      <c r="P1" s="195" t="s">
        <v>73</v>
      </c>
      <c r="Q1" s="209"/>
      <c r="R1" s="209"/>
      <c r="S1" s="209"/>
    </row>
    <row r="2" spans="1:19" ht="12.75" customHeight="1" x14ac:dyDescent="0.2">
      <c r="A2" s="607"/>
      <c r="B2" s="606"/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195" t="s">
        <v>74</v>
      </c>
      <c r="P2" s="196">
        <v>3</v>
      </c>
      <c r="Q2" s="210"/>
      <c r="R2" s="210"/>
      <c r="S2" s="210"/>
    </row>
    <row r="3" spans="1:19" ht="12.75" customHeight="1" x14ac:dyDescent="0.2">
      <c r="A3" s="607"/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195" t="s">
        <v>75</v>
      </c>
      <c r="P3" s="526">
        <v>46146</v>
      </c>
      <c r="Q3" s="211"/>
      <c r="R3" s="211"/>
      <c r="S3" s="211"/>
    </row>
    <row r="4" spans="1:19" ht="12.75" customHeight="1" x14ac:dyDescent="0.2">
      <c r="A4" s="607"/>
      <c r="B4" s="606"/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  <c r="O4" s="195" t="s">
        <v>76</v>
      </c>
      <c r="P4" s="195" t="s">
        <v>77</v>
      </c>
      <c r="Q4" s="209"/>
      <c r="R4" s="209"/>
      <c r="S4" s="209"/>
    </row>
    <row r="6" spans="1:19" ht="21" customHeight="1" x14ac:dyDescent="0.2">
      <c r="A6" s="197" t="s">
        <v>78</v>
      </c>
      <c r="B6" s="19" t="s">
        <v>10</v>
      </c>
      <c r="C6" s="374"/>
      <c r="D6" s="374"/>
      <c r="E6" s="374"/>
      <c r="F6" s="18"/>
      <c r="G6" s="18"/>
      <c r="H6" s="18"/>
      <c r="I6" s="375"/>
      <c r="J6" s="375"/>
      <c r="K6" s="375"/>
      <c r="L6" s="375"/>
      <c r="M6" s="375"/>
      <c r="N6" s="375"/>
      <c r="O6" s="375"/>
      <c r="P6" s="376"/>
    </row>
    <row r="7" spans="1:19" ht="21" customHeight="1" x14ac:dyDescent="0.2">
      <c r="A7" s="197" t="s">
        <v>79</v>
      </c>
      <c r="B7" s="19" t="s">
        <v>235</v>
      </c>
      <c r="C7" s="374"/>
      <c r="D7" s="374"/>
      <c r="E7" s="374"/>
      <c r="F7" s="18"/>
      <c r="G7" s="18"/>
      <c r="H7" s="18"/>
      <c r="I7" s="375"/>
      <c r="J7" s="375"/>
      <c r="K7" s="375"/>
      <c r="L7" s="375"/>
      <c r="M7" s="375"/>
      <c r="N7" s="375"/>
      <c r="O7" s="375"/>
      <c r="P7" s="376"/>
    </row>
    <row r="8" spans="1:19" ht="21" customHeight="1" x14ac:dyDescent="0.2">
      <c r="A8" s="197" t="s">
        <v>80</v>
      </c>
      <c r="B8" s="19" t="s">
        <v>81</v>
      </c>
      <c r="C8" s="374"/>
      <c r="D8" s="374"/>
      <c r="E8" s="374"/>
      <c r="F8" s="18"/>
      <c r="G8" s="18"/>
      <c r="H8" s="18"/>
      <c r="I8" s="375"/>
      <c r="J8" s="375"/>
      <c r="K8" s="375"/>
      <c r="L8" s="375"/>
      <c r="M8" s="375"/>
      <c r="N8" s="375"/>
      <c r="O8" s="375"/>
      <c r="P8" s="376"/>
    </row>
    <row r="9" spans="1:19" ht="21" customHeight="1" x14ac:dyDescent="0.2">
      <c r="A9" s="198" t="s">
        <v>82</v>
      </c>
      <c r="B9" s="19" t="s">
        <v>83</v>
      </c>
      <c r="C9" s="374"/>
      <c r="D9" s="374"/>
      <c r="E9" s="374"/>
      <c r="F9" s="18"/>
      <c r="G9" s="18"/>
      <c r="H9" s="18"/>
      <c r="I9" s="375"/>
      <c r="J9" s="375"/>
      <c r="K9" s="375"/>
      <c r="L9" s="375"/>
      <c r="M9" s="375"/>
      <c r="N9" s="375"/>
      <c r="O9" s="375"/>
      <c r="P9" s="376"/>
    </row>
    <row r="11" spans="1:19" ht="12" customHeight="1" x14ac:dyDescent="0.2">
      <c r="A11" s="20" t="s">
        <v>84</v>
      </c>
    </row>
    <row r="12" spans="1:19" ht="12" customHeight="1" x14ac:dyDescent="0.2">
      <c r="A12" s="20"/>
    </row>
    <row r="13" spans="1:19" ht="12" customHeight="1" x14ac:dyDescent="0.2">
      <c r="A13" s="419" t="s">
        <v>85</v>
      </c>
      <c r="F13" s="419" t="s">
        <v>93</v>
      </c>
    </row>
    <row r="14" spans="1:19" ht="12" customHeight="1" x14ac:dyDescent="0.2"/>
    <row r="15" spans="1:19" ht="15" customHeight="1" x14ac:dyDescent="0.2">
      <c r="A15" s="420" t="s">
        <v>86</v>
      </c>
      <c r="G15" s="418"/>
    </row>
    <row r="16" spans="1:19" ht="15" customHeight="1" x14ac:dyDescent="0.2">
      <c r="A16" s="420" t="s">
        <v>87</v>
      </c>
    </row>
    <row r="17" spans="1:11" ht="15" customHeight="1" x14ac:dyDescent="0.2">
      <c r="A17" s="420" t="s">
        <v>88</v>
      </c>
    </row>
    <row r="18" spans="1:11" ht="15" customHeight="1" x14ac:dyDescent="0.2">
      <c r="A18" s="420" t="s">
        <v>89</v>
      </c>
    </row>
    <row r="19" spans="1:11" ht="15" customHeight="1" x14ac:dyDescent="0.2">
      <c r="A19" s="420"/>
    </row>
    <row r="20" spans="1:11" ht="15" customHeight="1" x14ac:dyDescent="0.2">
      <c r="A20" s="420" t="s">
        <v>90</v>
      </c>
      <c r="G20" s="418"/>
    </row>
    <row r="21" spans="1:11" ht="15" customHeight="1" x14ac:dyDescent="0.2">
      <c r="A21" s="420" t="s">
        <v>91</v>
      </c>
    </row>
    <row r="22" spans="1:11" ht="15" customHeight="1" x14ac:dyDescent="0.2">
      <c r="A22" s="420" t="s">
        <v>92</v>
      </c>
    </row>
    <row r="23" spans="1:11" ht="12" customHeight="1" x14ac:dyDescent="0.2"/>
    <row r="24" spans="1:11" ht="12" customHeight="1" x14ac:dyDescent="0.2">
      <c r="A24" s="419" t="s">
        <v>94</v>
      </c>
      <c r="H24" s="418"/>
    </row>
    <row r="25" spans="1:11" ht="12" customHeight="1" x14ac:dyDescent="0.2"/>
    <row r="26" spans="1:11" ht="12" customHeight="1" x14ac:dyDescent="0.2">
      <c r="A26" s="420" t="s">
        <v>95</v>
      </c>
    </row>
    <row r="27" spans="1:11" ht="12" customHeight="1" x14ac:dyDescent="0.2"/>
    <row r="28" spans="1:11" ht="15" customHeight="1" x14ac:dyDescent="0.2">
      <c r="A28" s="20" t="s">
        <v>96</v>
      </c>
    </row>
    <row r="29" spans="1:11" ht="12" customHeight="1" x14ac:dyDescent="0.2"/>
    <row r="30" spans="1:11" ht="12" customHeight="1" x14ac:dyDescent="0.2"/>
    <row r="31" spans="1:11" ht="12" customHeight="1" x14ac:dyDescent="0.2"/>
    <row r="32" spans="1:11" ht="12" customHeight="1" x14ac:dyDescent="0.2">
      <c r="K32" s="418"/>
    </row>
    <row r="33" spans="1:32" ht="19.5" customHeight="1" x14ac:dyDescent="0.2"/>
    <row r="34" spans="1:32" ht="15" x14ac:dyDescent="0.2">
      <c r="F34" s="377"/>
      <c r="Q34" s="616"/>
      <c r="R34" s="619"/>
      <c r="S34" s="619"/>
      <c r="T34" s="619"/>
      <c r="U34" s="619"/>
      <c r="V34" s="619"/>
      <c r="W34" s="619"/>
      <c r="X34" s="619"/>
      <c r="Y34" s="619"/>
      <c r="Z34" s="417"/>
      <c r="AA34" s="417"/>
      <c r="AB34" s="417"/>
      <c r="AC34" s="618"/>
      <c r="AD34" s="618"/>
      <c r="AE34" s="618"/>
      <c r="AF34" s="618"/>
    </row>
    <row r="35" spans="1:32" ht="15" x14ac:dyDescent="0.2">
      <c r="G35" s="418"/>
      <c r="I35" s="418"/>
      <c r="K35" s="418"/>
      <c r="L35" s="418"/>
      <c r="M35" s="418"/>
      <c r="Q35" s="616"/>
      <c r="R35" s="619"/>
      <c r="S35" s="619"/>
      <c r="T35" s="619"/>
      <c r="U35" s="619"/>
      <c r="V35" s="619"/>
      <c r="W35" s="619"/>
      <c r="X35" s="619"/>
      <c r="Y35" s="619"/>
      <c r="Z35" s="417"/>
      <c r="AA35" s="417"/>
      <c r="AB35" s="417"/>
      <c r="AD35" s="378"/>
      <c r="AE35" s="379"/>
    </row>
    <row r="36" spans="1:32" ht="17.25" customHeight="1" x14ac:dyDescent="0.2">
      <c r="Q36" s="616"/>
      <c r="R36" s="619"/>
      <c r="S36" s="619"/>
      <c r="T36" s="619"/>
      <c r="U36" s="619"/>
      <c r="V36" s="619"/>
      <c r="W36" s="619"/>
      <c r="X36" s="619"/>
      <c r="Y36" s="619"/>
      <c r="Z36" s="417"/>
      <c r="AA36" s="417"/>
      <c r="AB36" s="417"/>
      <c r="AD36" s="378"/>
      <c r="AE36" s="379"/>
    </row>
    <row r="37" spans="1:32" ht="17.25" customHeight="1" x14ac:dyDescent="0.2">
      <c r="Q37" s="616"/>
      <c r="R37" s="619"/>
      <c r="S37" s="619"/>
      <c r="T37" s="619"/>
      <c r="U37" s="619"/>
      <c r="V37" s="619"/>
      <c r="W37" s="619"/>
      <c r="X37" s="619"/>
      <c r="Y37" s="619"/>
      <c r="Z37" s="417"/>
      <c r="AA37" s="417"/>
      <c r="AB37" s="417"/>
      <c r="AC37" s="379"/>
      <c r="AD37" s="379"/>
    </row>
    <row r="38" spans="1:32" ht="21.75" customHeight="1" x14ac:dyDescent="0.2">
      <c r="I38" s="418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17"/>
      <c r="AB38" s="617"/>
      <c r="AC38" s="617"/>
      <c r="AD38" s="617"/>
      <c r="AE38" s="617"/>
      <c r="AF38" s="617"/>
    </row>
    <row r="39" spans="1:32" ht="10.5" customHeight="1" x14ac:dyDescent="0.2">
      <c r="O39" s="14"/>
      <c r="P39" s="14"/>
      <c r="Q39" s="14"/>
      <c r="R39" s="14"/>
      <c r="S39" s="14"/>
    </row>
    <row r="40" spans="1:32" ht="15.75" customHeight="1" thickBot="1" x14ac:dyDescent="0.25">
      <c r="A40" s="315" t="s">
        <v>28</v>
      </c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14"/>
      <c r="P40" s="14"/>
      <c r="Q40" s="14"/>
      <c r="R40" s="14"/>
      <c r="S40" s="14"/>
    </row>
    <row r="41" spans="1:32" ht="39.75" customHeight="1" thickBot="1" x14ac:dyDescent="0.25">
      <c r="A41" s="257" t="s">
        <v>97</v>
      </c>
      <c r="B41" s="258" t="s">
        <v>98</v>
      </c>
      <c r="C41" s="226" t="s">
        <v>99</v>
      </c>
      <c r="D41" s="226" t="s">
        <v>100</v>
      </c>
      <c r="E41" s="226" t="s">
        <v>101</v>
      </c>
      <c r="F41" s="226" t="s">
        <v>102</v>
      </c>
      <c r="G41" s="226" t="s">
        <v>103</v>
      </c>
      <c r="H41" s="259" t="s">
        <v>104</v>
      </c>
      <c r="I41" s="260" t="s">
        <v>98</v>
      </c>
      <c r="J41" s="226" t="s">
        <v>99</v>
      </c>
      <c r="K41" s="226" t="s">
        <v>100</v>
      </c>
      <c r="L41" s="226" t="s">
        <v>101</v>
      </c>
      <c r="M41" s="226" t="s">
        <v>102</v>
      </c>
      <c r="N41" s="226" t="s">
        <v>103</v>
      </c>
      <c r="O41" s="259" t="s">
        <v>104</v>
      </c>
      <c r="P41" s="261" t="s">
        <v>98</v>
      </c>
      <c r="Q41" s="226" t="s">
        <v>99</v>
      </c>
      <c r="R41" s="226" t="s">
        <v>100</v>
      </c>
      <c r="S41" s="226" t="s">
        <v>101</v>
      </c>
      <c r="T41" s="226" t="s">
        <v>102</v>
      </c>
      <c r="U41" s="226" t="s">
        <v>103</v>
      </c>
      <c r="V41" s="259" t="s">
        <v>104</v>
      </c>
    </row>
    <row r="42" spans="1:32" s="380" customFormat="1" ht="21.75" customHeight="1" x14ac:dyDescent="0.2">
      <c r="A42" s="262" t="s">
        <v>105</v>
      </c>
      <c r="B42" s="263" t="e">
        <f>+(B43-B47)/B51</f>
        <v>#DIV/0!</v>
      </c>
      <c r="C42" s="264"/>
      <c r="D42" s="264"/>
      <c r="E42" s="264"/>
      <c r="F42" s="264"/>
      <c r="G42" s="264"/>
      <c r="H42" s="265"/>
      <c r="I42" s="266" t="e">
        <f>+(I43-I47)/I51</f>
        <v>#DIV/0!</v>
      </c>
      <c r="J42" s="267"/>
      <c r="K42" s="267"/>
      <c r="L42" s="267"/>
      <c r="M42" s="268"/>
      <c r="N42" s="268"/>
      <c r="O42" s="269"/>
      <c r="P42" s="266" t="e">
        <f>+(P43-P47)/P51</f>
        <v>#DIV/0!</v>
      </c>
      <c r="Q42" s="267"/>
      <c r="R42" s="267"/>
      <c r="S42" s="267"/>
      <c r="T42" s="270"/>
      <c r="U42" s="270"/>
      <c r="V42" s="271"/>
    </row>
    <row r="43" spans="1:32" s="380" customFormat="1" ht="30" customHeight="1" x14ac:dyDescent="0.2">
      <c r="A43" s="227" t="s">
        <v>106</v>
      </c>
      <c r="B43" s="307">
        <f>+Balanza!D26</f>
        <v>0</v>
      </c>
      <c r="C43" s="205" t="s">
        <v>107</v>
      </c>
      <c r="D43" s="205"/>
      <c r="E43" s="205"/>
      <c r="F43" s="228">
        <f>SQRT((F44*F44)+(F45*F45)+(F46*F46))</f>
        <v>1.1060440015358037</v>
      </c>
      <c r="G43" s="229" t="e">
        <f>1/B51</f>
        <v>#DIV/0!</v>
      </c>
      <c r="H43" s="230" t="e">
        <f>+G43*F43</f>
        <v>#DIV/0!</v>
      </c>
      <c r="I43" s="395">
        <f>Balanza!F26</f>
        <v>0</v>
      </c>
      <c r="J43" s="231"/>
      <c r="K43" s="231"/>
      <c r="L43" s="231"/>
      <c r="M43" s="228">
        <f>SQRT((M44*M44)+(M45*M45)+(M46*M46))</f>
        <v>1.1060440015358037</v>
      </c>
      <c r="N43" s="229" t="e">
        <f>1/I51</f>
        <v>#DIV/0!</v>
      </c>
      <c r="O43" s="232" t="e">
        <f>+N43*M43</f>
        <v>#DIV/0!</v>
      </c>
      <c r="P43" s="395">
        <f>Balanza!H26</f>
        <v>0</v>
      </c>
      <c r="Q43" s="206"/>
      <c r="R43" s="206"/>
      <c r="S43" s="206"/>
      <c r="T43" s="228">
        <f>SQRT((T44*T44)+(T45*T45)+(T46*T46))</f>
        <v>1.1060440015358037</v>
      </c>
      <c r="U43" s="229" t="e">
        <f>1/P51</f>
        <v>#DIV/0!</v>
      </c>
      <c r="V43" s="232" t="e">
        <f>+U43*T43</f>
        <v>#DIV/0!</v>
      </c>
    </row>
    <row r="44" spans="1:32" s="380" customFormat="1" ht="21.75" customHeight="1" x14ac:dyDescent="0.2">
      <c r="A44" s="220" t="s">
        <v>108</v>
      </c>
      <c r="B44" s="381"/>
      <c r="C44" s="201">
        <f>+IF($K$67&lt;=2,Balanza!E26,Balanza!P26)</f>
        <v>0</v>
      </c>
      <c r="D44" s="201" t="s">
        <v>109</v>
      </c>
      <c r="E44" s="203" t="s">
        <v>110</v>
      </c>
      <c r="F44" s="233">
        <f>C44</f>
        <v>0</v>
      </c>
      <c r="G44" s="234" t="s">
        <v>111</v>
      </c>
      <c r="H44" s="235" t="s">
        <v>111</v>
      </c>
      <c r="I44" s="381"/>
      <c r="J44" s="201">
        <f>+IF($K$67&lt;=2,Balanza!G26,Balanza!R26)</f>
        <v>0</v>
      </c>
      <c r="K44" s="201" t="s">
        <v>112</v>
      </c>
      <c r="L44" s="203" t="s">
        <v>110</v>
      </c>
      <c r="M44" s="233">
        <f>J44</f>
        <v>0</v>
      </c>
      <c r="N44" s="234" t="s">
        <v>111</v>
      </c>
      <c r="O44" s="236" t="s">
        <v>111</v>
      </c>
      <c r="P44" s="381"/>
      <c r="Q44" s="201">
        <f>+IF($K$67&lt;=2,Balanza!I26,Balanza!T26)</f>
        <v>0</v>
      </c>
      <c r="R44" s="201" t="s">
        <v>112</v>
      </c>
      <c r="S44" s="203" t="s">
        <v>110</v>
      </c>
      <c r="T44" s="233">
        <f>Q44</f>
        <v>0</v>
      </c>
      <c r="U44" s="234" t="s">
        <v>111</v>
      </c>
      <c r="V44" s="236" t="s">
        <v>111</v>
      </c>
    </row>
    <row r="45" spans="1:32" s="380" customFormat="1" ht="21.75" customHeight="1" x14ac:dyDescent="0.2">
      <c r="A45" s="221" t="s">
        <v>113</v>
      </c>
      <c r="B45" s="381"/>
      <c r="C45" s="202">
        <f>2*(SQRT(Balanza!$J$8+Balanza!$K$8*(POWER(B43,2))))</f>
        <v>2.1354156504062622</v>
      </c>
      <c r="D45" s="201" t="s">
        <v>109</v>
      </c>
      <c r="E45" s="222" t="s">
        <v>114</v>
      </c>
      <c r="F45" s="233">
        <f>C45/2</f>
        <v>1.0677078252031311</v>
      </c>
      <c r="G45" s="234" t="s">
        <v>111</v>
      </c>
      <c r="H45" s="235" t="s">
        <v>111</v>
      </c>
      <c r="I45" s="381"/>
      <c r="J45" s="202">
        <f>2*(SQRT(Balanza!$J$8+Balanza!$K$8*(POWER(I43,2))))</f>
        <v>2.1354156504062622</v>
      </c>
      <c r="K45" s="202" t="s">
        <v>112</v>
      </c>
      <c r="L45" s="222" t="s">
        <v>114</v>
      </c>
      <c r="M45" s="233">
        <f>J45/2</f>
        <v>1.0677078252031311</v>
      </c>
      <c r="N45" s="234" t="s">
        <v>111</v>
      </c>
      <c r="O45" s="236" t="s">
        <v>111</v>
      </c>
      <c r="P45" s="381"/>
      <c r="Q45" s="202">
        <f>2*(SQRT(Balanza!$J$8+Balanza!$K$8*(POWER(P43,2))))</f>
        <v>2.1354156504062622</v>
      </c>
      <c r="R45" s="202" t="s">
        <v>112</v>
      </c>
      <c r="S45" s="222" t="s">
        <v>114</v>
      </c>
      <c r="T45" s="233">
        <f>Q45/2</f>
        <v>1.0677078252031311</v>
      </c>
      <c r="U45" s="234" t="s">
        <v>111</v>
      </c>
      <c r="V45" s="236" t="s">
        <v>111</v>
      </c>
    </row>
    <row r="46" spans="1:32" s="380" customFormat="1" ht="21.75" customHeight="1" x14ac:dyDescent="0.2">
      <c r="A46" s="237" t="s">
        <v>115</v>
      </c>
      <c r="B46" s="381"/>
      <c r="C46" s="201">
        <f>+Balanza!$J$9</f>
        <v>1</v>
      </c>
      <c r="D46" s="201" t="s">
        <v>109</v>
      </c>
      <c r="E46" s="223" t="s">
        <v>116</v>
      </c>
      <c r="F46" s="233">
        <f>(C46/SQRT(3)/2)</f>
        <v>0.28867513459481292</v>
      </c>
      <c r="G46" s="234" t="s">
        <v>111</v>
      </c>
      <c r="H46" s="235" t="s">
        <v>111</v>
      </c>
      <c r="I46" s="381"/>
      <c r="J46" s="201">
        <f>+Balanza!$J$9</f>
        <v>1</v>
      </c>
      <c r="K46" s="201" t="s">
        <v>112</v>
      </c>
      <c r="L46" s="223" t="s">
        <v>116</v>
      </c>
      <c r="M46" s="233">
        <f>(J46/SQRT(3)/2)</f>
        <v>0.28867513459481292</v>
      </c>
      <c r="N46" s="234" t="s">
        <v>111</v>
      </c>
      <c r="O46" s="236" t="s">
        <v>111</v>
      </c>
      <c r="P46" s="381"/>
      <c r="Q46" s="201">
        <f>+Balanza!$J$9</f>
        <v>1</v>
      </c>
      <c r="R46" s="201" t="s">
        <v>112</v>
      </c>
      <c r="S46" s="223" t="s">
        <v>116</v>
      </c>
      <c r="T46" s="233">
        <f>(Q46/SQRT(3)/2)</f>
        <v>0.28867513459481292</v>
      </c>
      <c r="U46" s="234" t="s">
        <v>111</v>
      </c>
      <c r="V46" s="236" t="s">
        <v>111</v>
      </c>
    </row>
    <row r="47" spans="1:32" s="380" customFormat="1" ht="21.75" customHeight="1" x14ac:dyDescent="0.2">
      <c r="A47" s="238" t="s">
        <v>117</v>
      </c>
      <c r="B47" s="307">
        <f>+Balanza!D27</f>
        <v>0</v>
      </c>
      <c r="C47" s="225" t="s">
        <v>118</v>
      </c>
      <c r="D47" s="225"/>
      <c r="E47" s="225"/>
      <c r="F47" s="239">
        <f>SQRT((F48*F48)+(F49*F49)+(F50*F50))</f>
        <v>1.1060440015358037</v>
      </c>
      <c r="G47" s="229" t="e">
        <f>1/B51</f>
        <v>#DIV/0!</v>
      </c>
      <c r="H47" s="230" t="e">
        <f>+G47*F47</f>
        <v>#DIV/0!</v>
      </c>
      <c r="I47" s="395">
        <f>Balanza!F27</f>
        <v>0</v>
      </c>
      <c r="J47" s="231"/>
      <c r="K47" s="225"/>
      <c r="L47" s="225"/>
      <c r="M47" s="228">
        <f>SQRT((M48*M48)+(M49*M49)+(M50*M50))</f>
        <v>1.1060440015358037</v>
      </c>
      <c r="N47" s="229" t="e">
        <f>1/I51</f>
        <v>#DIV/0!</v>
      </c>
      <c r="O47" s="232" t="e">
        <f>+N47*M47</f>
        <v>#DIV/0!</v>
      </c>
      <c r="P47" s="395">
        <f>Balanza!H27</f>
        <v>0</v>
      </c>
      <c r="Q47" s="231"/>
      <c r="R47" s="225"/>
      <c r="S47" s="225"/>
      <c r="T47" s="228">
        <f>SQRT((T48*T48)+(T49*T49)+(T50*T50))</f>
        <v>1.1060440015358037</v>
      </c>
      <c r="U47" s="229" t="e">
        <f>1/P51</f>
        <v>#DIV/0!</v>
      </c>
      <c r="V47" s="232" t="e">
        <f>+U47*T47</f>
        <v>#DIV/0!</v>
      </c>
    </row>
    <row r="48" spans="1:32" s="380" customFormat="1" ht="21.75" customHeight="1" x14ac:dyDescent="0.2">
      <c r="A48" s="212" t="s">
        <v>108</v>
      </c>
      <c r="B48" s="381"/>
      <c r="C48" s="201">
        <f>+IF($K$67&lt;=2,Balanza!E27,Balanza!P27)</f>
        <v>0</v>
      </c>
      <c r="D48" s="201" t="s">
        <v>109</v>
      </c>
      <c r="E48" s="203" t="s">
        <v>110</v>
      </c>
      <c r="F48" s="233">
        <f>C48</f>
        <v>0</v>
      </c>
      <c r="G48" s="234" t="s">
        <v>111</v>
      </c>
      <c r="H48" s="235" t="s">
        <v>111</v>
      </c>
      <c r="I48" s="381"/>
      <c r="J48" s="201">
        <f>+IF($K$67&lt;=2,Balanza!G27,Balanza!R27)</f>
        <v>0</v>
      </c>
      <c r="K48" s="201" t="s">
        <v>112</v>
      </c>
      <c r="L48" s="203" t="s">
        <v>110</v>
      </c>
      <c r="M48" s="233">
        <f>J48</f>
        <v>0</v>
      </c>
      <c r="N48" s="234" t="s">
        <v>111</v>
      </c>
      <c r="O48" s="236" t="s">
        <v>111</v>
      </c>
      <c r="P48" s="381"/>
      <c r="Q48" s="201">
        <f>+IF($K$67&lt;=2,Balanza!I27,Balanza!T27)</f>
        <v>0</v>
      </c>
      <c r="R48" s="201" t="s">
        <v>112</v>
      </c>
      <c r="S48" s="203" t="s">
        <v>110</v>
      </c>
      <c r="T48" s="233">
        <f>Q48</f>
        <v>0</v>
      </c>
      <c r="U48" s="234" t="s">
        <v>111</v>
      </c>
      <c r="V48" s="236" t="s">
        <v>111</v>
      </c>
    </row>
    <row r="49" spans="1:22" s="380" customFormat="1" ht="21.75" customHeight="1" x14ac:dyDescent="0.2">
      <c r="A49" s="213" t="s">
        <v>113</v>
      </c>
      <c r="B49" s="381"/>
      <c r="C49" s="202">
        <f>2*(SQRT(Balanza!$J$8+Balanza!$K$8*(POWER(B47,2))))</f>
        <v>2.1354156504062622</v>
      </c>
      <c r="D49" s="201" t="s">
        <v>109</v>
      </c>
      <c r="E49" s="222" t="s">
        <v>114</v>
      </c>
      <c r="F49" s="233">
        <f>C49/2</f>
        <v>1.0677078252031311</v>
      </c>
      <c r="G49" s="234" t="s">
        <v>111</v>
      </c>
      <c r="H49" s="235" t="s">
        <v>111</v>
      </c>
      <c r="I49" s="381"/>
      <c r="J49" s="202">
        <f>2*(SQRT(Balanza!$J$8+Balanza!$K$8*(POWER(I47,2))))</f>
        <v>2.1354156504062622</v>
      </c>
      <c r="K49" s="202" t="s">
        <v>112</v>
      </c>
      <c r="L49" s="222" t="s">
        <v>114</v>
      </c>
      <c r="M49" s="233">
        <f>J49/2</f>
        <v>1.0677078252031311</v>
      </c>
      <c r="N49" s="234" t="s">
        <v>111</v>
      </c>
      <c r="O49" s="236" t="s">
        <v>111</v>
      </c>
      <c r="P49" s="381"/>
      <c r="Q49" s="202">
        <f>2*(SQRT(Balanza!$J$8+Balanza!$K$8*(POWER(P47,2))))</f>
        <v>2.1354156504062622</v>
      </c>
      <c r="R49" s="202" t="s">
        <v>112</v>
      </c>
      <c r="S49" s="222" t="s">
        <v>114</v>
      </c>
      <c r="T49" s="233">
        <f>Q49/2</f>
        <v>1.0677078252031311</v>
      </c>
      <c r="U49" s="234" t="s">
        <v>111</v>
      </c>
      <c r="V49" s="236" t="s">
        <v>111</v>
      </c>
    </row>
    <row r="50" spans="1:22" s="380" customFormat="1" ht="21.75" customHeight="1" x14ac:dyDescent="0.2">
      <c r="A50" s="237" t="s">
        <v>115</v>
      </c>
      <c r="B50" s="381"/>
      <c r="C50" s="201">
        <f>+Balanza!$J$9</f>
        <v>1</v>
      </c>
      <c r="D50" s="201" t="s">
        <v>109</v>
      </c>
      <c r="E50" s="223" t="s">
        <v>116</v>
      </c>
      <c r="F50" s="233">
        <f>(C50/SQRT(3)/2)</f>
        <v>0.28867513459481292</v>
      </c>
      <c r="G50" s="234" t="s">
        <v>111</v>
      </c>
      <c r="H50" s="235" t="s">
        <v>111</v>
      </c>
      <c r="I50" s="381"/>
      <c r="J50" s="201">
        <f>+Balanza!$J$9</f>
        <v>1</v>
      </c>
      <c r="K50" s="201" t="s">
        <v>112</v>
      </c>
      <c r="L50" s="223" t="s">
        <v>116</v>
      </c>
      <c r="M50" s="233">
        <f>(J50/SQRT(3)/2)</f>
        <v>0.28867513459481292</v>
      </c>
      <c r="N50" s="234" t="s">
        <v>111</v>
      </c>
      <c r="O50" s="236" t="s">
        <v>111</v>
      </c>
      <c r="P50" s="381"/>
      <c r="Q50" s="201">
        <f>+Balanza!$J$9</f>
        <v>1</v>
      </c>
      <c r="R50" s="201" t="s">
        <v>112</v>
      </c>
      <c r="S50" s="223" t="s">
        <v>116</v>
      </c>
      <c r="T50" s="233">
        <f>(Q50/SQRT(3)/2)</f>
        <v>0.28867513459481292</v>
      </c>
      <c r="U50" s="234" t="s">
        <v>111</v>
      </c>
      <c r="V50" s="236" t="s">
        <v>111</v>
      </c>
    </row>
    <row r="51" spans="1:22" s="380" customFormat="1" ht="24.75" customHeight="1" x14ac:dyDescent="0.2">
      <c r="A51" s="227" t="s">
        <v>119</v>
      </c>
      <c r="B51" s="412">
        <f>+Balanza!D28</f>
        <v>0</v>
      </c>
      <c r="C51" s="205" t="s">
        <v>120</v>
      </c>
      <c r="D51" s="205"/>
      <c r="E51" s="205"/>
      <c r="F51" s="317">
        <f>+H76</f>
        <v>0</v>
      </c>
      <c r="G51" s="240" t="e">
        <f>+ABS((B47-B43)/POWER(B51,2))</f>
        <v>#DIV/0!</v>
      </c>
      <c r="H51" s="318" t="e">
        <f>+F51*G51</f>
        <v>#DIV/0!</v>
      </c>
      <c r="I51" s="413">
        <f>B51</f>
        <v>0</v>
      </c>
      <c r="J51" s="241"/>
      <c r="K51" s="205"/>
      <c r="L51" s="205"/>
      <c r="M51" s="228">
        <f>+F51</f>
        <v>0</v>
      </c>
      <c r="N51" s="240" t="e">
        <f>+ABS((I47-I43)/POWER(I51,2))</f>
        <v>#DIV/0!</v>
      </c>
      <c r="O51" s="232" t="e">
        <f>+N51*M51</f>
        <v>#DIV/0!</v>
      </c>
      <c r="P51" s="413">
        <f>B51</f>
        <v>0</v>
      </c>
      <c r="Q51" s="241"/>
      <c r="R51" s="205"/>
      <c r="S51" s="205"/>
      <c r="T51" s="228">
        <f>+F51</f>
        <v>0</v>
      </c>
      <c r="U51" s="240" t="e">
        <f>+ABS((P47-P43)/POWER(P51,2))</f>
        <v>#DIV/0!</v>
      </c>
      <c r="V51" s="232" t="e">
        <f>+U51*T51</f>
        <v>#DIV/0!</v>
      </c>
    </row>
    <row r="52" spans="1:22" s="380" customFormat="1" ht="21.75" customHeight="1" thickBot="1" x14ac:dyDescent="0.25">
      <c r="A52" s="218" t="s">
        <v>213</v>
      </c>
      <c r="B52" s="393">
        <f>+Precision!B23</f>
        <v>3.4123957045519271</v>
      </c>
      <c r="C52" s="215"/>
      <c r="D52" s="215" t="s">
        <v>40</v>
      </c>
      <c r="E52" s="216" t="s">
        <v>121</v>
      </c>
      <c r="F52" s="242">
        <f>+B52</f>
        <v>3.4123957045519271</v>
      </c>
      <c r="G52" s="206">
        <v>1</v>
      </c>
      <c r="H52" s="230">
        <f>+F52*G52</f>
        <v>3.4123957045519271</v>
      </c>
      <c r="I52" s="243">
        <f>+B52</f>
        <v>3.4123957045519271</v>
      </c>
      <c r="J52" s="244"/>
      <c r="K52" s="207" t="s">
        <v>40</v>
      </c>
      <c r="L52" s="208" t="s">
        <v>121</v>
      </c>
      <c r="M52" s="245">
        <f>+I52</f>
        <v>3.4123957045519271</v>
      </c>
      <c r="N52" s="206">
        <v>1</v>
      </c>
      <c r="O52" s="230">
        <f>+M52*N52</f>
        <v>3.4123957045519271</v>
      </c>
      <c r="P52" s="243">
        <f>+B52</f>
        <v>3.4123957045519271</v>
      </c>
      <c r="Q52" s="244"/>
      <c r="R52" s="207" t="s">
        <v>40</v>
      </c>
      <c r="S52" s="208" t="s">
        <v>121</v>
      </c>
      <c r="T52" s="245">
        <f>+P52</f>
        <v>3.4123957045519271</v>
      </c>
      <c r="U52" s="206">
        <v>1</v>
      </c>
      <c r="V52" s="230">
        <f>+T52*U52</f>
        <v>3.4123957045519271</v>
      </c>
    </row>
    <row r="53" spans="1:22" s="380" customFormat="1" ht="21.75" customHeight="1" thickBot="1" x14ac:dyDescent="0.25">
      <c r="A53" s="219" t="s">
        <v>122</v>
      </c>
      <c r="B53" s="382"/>
      <c r="C53" s="383"/>
      <c r="D53" s="383"/>
      <c r="E53" s="217"/>
      <c r="F53" s="246"/>
      <c r="G53" s="247"/>
      <c r="H53" s="272" t="e">
        <f>SQRT((H43*H43)+(H47*H47)+(H51*H51)+(H52*H52))</f>
        <v>#DIV/0!</v>
      </c>
      <c r="I53" s="248"/>
      <c r="J53" s="248"/>
      <c r="K53" s="248"/>
      <c r="L53" s="248"/>
      <c r="M53" s="246"/>
      <c r="N53" s="247"/>
      <c r="O53" s="273" t="e">
        <f>SQRT((O43*O43)+(O47*O47)+(O51*O51)+(O52*O52))</f>
        <v>#DIV/0!</v>
      </c>
      <c r="P53" s="249"/>
      <c r="Q53" s="249"/>
      <c r="R53" s="249"/>
      <c r="S53" s="249"/>
      <c r="T53" s="246"/>
      <c r="U53" s="247"/>
      <c r="V53" s="272" t="e">
        <f>SQRT((V43*V43)+(V47*V47)+(V51*V51)+(V52*V52))</f>
        <v>#DIV/0!</v>
      </c>
    </row>
    <row r="54" spans="1:22" s="380" customFormat="1" ht="21.75" customHeight="1" thickBot="1" x14ac:dyDescent="0.25">
      <c r="A54" s="610" t="s">
        <v>123</v>
      </c>
      <c r="B54" s="611"/>
      <c r="C54" s="612"/>
      <c r="D54" s="252"/>
      <c r="E54" s="252"/>
      <c r="F54" s="252"/>
      <c r="G54" s="204" t="s">
        <v>68</v>
      </c>
      <c r="H54" s="341" t="e">
        <f>MAX(H53:V53)*2</f>
        <v>#DIV/0!</v>
      </c>
      <c r="I54" s="254"/>
      <c r="J54" s="254"/>
      <c r="K54" s="254"/>
      <c r="L54" s="254"/>
      <c r="M54" s="252"/>
      <c r="N54" s="253"/>
      <c r="O54" s="255"/>
      <c r="P54" s="254"/>
      <c r="Q54" s="254"/>
      <c r="R54" s="254"/>
      <c r="S54" s="254"/>
      <c r="T54" s="252"/>
      <c r="U54" s="253"/>
      <c r="V54" s="256"/>
    </row>
    <row r="55" spans="1:22" ht="24" customHeight="1" x14ac:dyDescent="0.2">
      <c r="A55" s="14"/>
      <c r="B55" s="14"/>
      <c r="C55" s="14"/>
      <c r="D55" s="14"/>
      <c r="E55" s="14"/>
      <c r="F55" s="14"/>
      <c r="G55" s="14"/>
      <c r="H55" s="14"/>
      <c r="O55" s="14"/>
      <c r="P55" s="14"/>
      <c r="Q55" s="14"/>
      <c r="R55" s="14"/>
      <c r="S55" s="14"/>
    </row>
    <row r="56" spans="1:22" ht="24" customHeight="1" thickBot="1" x14ac:dyDescent="0.25">
      <c r="A56" s="311" t="s">
        <v>124</v>
      </c>
      <c r="B56" s="312"/>
      <c r="C56" s="312"/>
      <c r="D56" s="312"/>
      <c r="E56" s="312"/>
      <c r="F56" s="312"/>
      <c r="G56" s="312"/>
      <c r="H56" s="312"/>
      <c r="I56" s="312"/>
      <c r="J56" s="312"/>
      <c r="K56" s="312"/>
      <c r="L56" s="312"/>
      <c r="M56" s="312"/>
      <c r="N56" s="313"/>
      <c r="O56" s="14"/>
      <c r="P56" s="14"/>
      <c r="Q56" s="14"/>
      <c r="R56" s="14"/>
      <c r="S56" s="14"/>
    </row>
    <row r="57" spans="1:22" ht="37.5" customHeight="1" thickBot="1" x14ac:dyDescent="0.25">
      <c r="A57" s="257" t="s">
        <v>97</v>
      </c>
      <c r="B57" s="258" t="s">
        <v>98</v>
      </c>
      <c r="C57" s="226" t="s">
        <v>99</v>
      </c>
      <c r="D57" s="226" t="s">
        <v>100</v>
      </c>
      <c r="E57" s="226" t="s">
        <v>101</v>
      </c>
      <c r="F57" s="226" t="s">
        <v>102</v>
      </c>
      <c r="G57" s="226" t="s">
        <v>103</v>
      </c>
      <c r="H57" s="259" t="s">
        <v>104</v>
      </c>
      <c r="I57" s="260" t="s">
        <v>98</v>
      </c>
      <c r="J57" s="226" t="s">
        <v>99</v>
      </c>
      <c r="K57" s="226" t="s">
        <v>100</v>
      </c>
      <c r="L57" s="226" t="s">
        <v>101</v>
      </c>
      <c r="M57" s="226" t="s">
        <v>102</v>
      </c>
      <c r="N57" s="226" t="s">
        <v>103</v>
      </c>
      <c r="O57" s="259" t="s">
        <v>104</v>
      </c>
      <c r="P57" s="261" t="s">
        <v>98</v>
      </c>
      <c r="Q57" s="226" t="s">
        <v>99</v>
      </c>
      <c r="R57" s="226" t="s">
        <v>100</v>
      </c>
      <c r="S57" s="226" t="s">
        <v>101</v>
      </c>
      <c r="T57" s="226" t="s">
        <v>102</v>
      </c>
      <c r="U57" s="226" t="s">
        <v>103</v>
      </c>
      <c r="V57" s="259" t="s">
        <v>104</v>
      </c>
    </row>
    <row r="58" spans="1:22" ht="24" customHeight="1" x14ac:dyDescent="0.2">
      <c r="A58" s="262" t="s">
        <v>125</v>
      </c>
      <c r="B58" s="263" t="e">
        <f>100*(B60*998-B59)/(B60*998)</f>
        <v>#DIV/0!</v>
      </c>
      <c r="C58" s="264"/>
      <c r="D58" s="264"/>
      <c r="E58" s="264"/>
      <c r="F58" s="264"/>
      <c r="G58" s="264"/>
      <c r="H58" s="265"/>
      <c r="I58" s="263" t="e">
        <f>100*(I60*998-I59)/(I60*998)</f>
        <v>#DIV/0!</v>
      </c>
      <c r="J58" s="267"/>
      <c r="K58" s="267"/>
      <c r="L58" s="267"/>
      <c r="M58" s="268"/>
      <c r="N58" s="268"/>
      <c r="O58" s="269"/>
      <c r="P58" s="263" t="e">
        <f>100*(P60*998-P59)/(P60*998)</f>
        <v>#DIV/0!</v>
      </c>
      <c r="Q58" s="267"/>
      <c r="R58" s="267"/>
      <c r="S58" s="267"/>
      <c r="T58" s="270"/>
      <c r="U58" s="270"/>
      <c r="V58" s="271"/>
    </row>
    <row r="59" spans="1:22" ht="24" customHeight="1" x14ac:dyDescent="0.2">
      <c r="A59" s="227" t="s">
        <v>33</v>
      </c>
      <c r="B59" s="224" t="e">
        <f>+B42</f>
        <v>#DIV/0!</v>
      </c>
      <c r="C59" s="205" t="s">
        <v>126</v>
      </c>
      <c r="D59" s="205" t="s">
        <v>68</v>
      </c>
      <c r="E59" s="205"/>
      <c r="F59" s="239" t="e">
        <f>+H53</f>
        <v>#DIV/0!</v>
      </c>
      <c r="G59" s="229" t="e">
        <f>100/(B60*998)</f>
        <v>#DIV/0!</v>
      </c>
      <c r="H59" s="230" t="e">
        <f>+F59*G59</f>
        <v>#DIV/0!</v>
      </c>
      <c r="I59" s="224" t="e">
        <f>+I42</f>
        <v>#DIV/0!</v>
      </c>
      <c r="J59" s="231"/>
      <c r="K59" s="231"/>
      <c r="L59" s="231"/>
      <c r="M59" s="239" t="e">
        <f>+O53</f>
        <v>#DIV/0!</v>
      </c>
      <c r="N59" s="229" t="e">
        <f>100/(I60*998)</f>
        <v>#DIV/0!</v>
      </c>
      <c r="O59" s="232" t="e">
        <f>+N59*M59</f>
        <v>#DIV/0!</v>
      </c>
      <c r="P59" s="224" t="e">
        <f>+P42</f>
        <v>#DIV/0!</v>
      </c>
      <c r="Q59" s="206"/>
      <c r="R59" s="206"/>
      <c r="S59" s="206"/>
      <c r="T59" s="239" t="e">
        <f>+V53</f>
        <v>#DIV/0!</v>
      </c>
      <c r="U59" s="229" t="e">
        <f>100/(P60*998)</f>
        <v>#DIV/0!</v>
      </c>
      <c r="V59" s="232" t="e">
        <f>+U59*T59</f>
        <v>#DIV/0!</v>
      </c>
    </row>
    <row r="60" spans="1:22" ht="24" customHeight="1" thickBot="1" x14ac:dyDescent="0.25">
      <c r="A60" s="238" t="s">
        <v>127</v>
      </c>
      <c r="B60" s="316">
        <f>+DATOS!F30</f>
        <v>0</v>
      </c>
      <c r="C60" s="225" t="s">
        <v>128</v>
      </c>
      <c r="D60" s="225"/>
      <c r="E60" s="225"/>
      <c r="F60" s="398">
        <f>+DATOS!D36</f>
        <v>0.01</v>
      </c>
      <c r="G60" s="229" t="e">
        <f>100*B59/(998*POWER(B60,2))</f>
        <v>#DIV/0!</v>
      </c>
      <c r="H60" s="230" t="e">
        <f>+F60*G60</f>
        <v>#DIV/0!</v>
      </c>
      <c r="I60" s="214">
        <f>+B60</f>
        <v>0</v>
      </c>
      <c r="J60" s="231"/>
      <c r="K60" s="225"/>
      <c r="L60" s="225"/>
      <c r="M60" s="398">
        <f>+F60</f>
        <v>0.01</v>
      </c>
      <c r="N60" s="229" t="e">
        <f>100*I59/(998*POWER(I60,2))</f>
        <v>#DIV/0!</v>
      </c>
      <c r="O60" s="232" t="e">
        <f>+N60*M60</f>
        <v>#DIV/0!</v>
      </c>
      <c r="P60" s="214">
        <f>+B60</f>
        <v>0</v>
      </c>
      <c r="Q60" s="231"/>
      <c r="R60" s="225"/>
      <c r="S60" s="225"/>
      <c r="T60" s="398">
        <f>+F60</f>
        <v>0.01</v>
      </c>
      <c r="U60" s="229" t="e">
        <f>100*P59/(998*POWER(P60,2))</f>
        <v>#DIV/0!</v>
      </c>
      <c r="V60" s="232" t="e">
        <f>+U60*T60</f>
        <v>#DIV/0!</v>
      </c>
    </row>
    <row r="61" spans="1:22" ht="24" customHeight="1" thickBot="1" x14ac:dyDescent="0.25">
      <c r="A61" s="219" t="s">
        <v>122</v>
      </c>
      <c r="B61" s="382"/>
      <c r="C61" s="383"/>
      <c r="D61" s="383"/>
      <c r="E61" s="217"/>
      <c r="F61" s="246"/>
      <c r="G61" s="247"/>
      <c r="H61" s="272" t="e">
        <f>SQRT((H59*H59)+(H60*H60))</f>
        <v>#DIV/0!</v>
      </c>
      <c r="I61" s="248"/>
      <c r="J61" s="248"/>
      <c r="K61" s="248"/>
      <c r="L61" s="248"/>
      <c r="M61" s="246"/>
      <c r="N61" s="247"/>
      <c r="O61" s="272" t="e">
        <f>SQRT((O59*O59)+(O60*O60))</f>
        <v>#DIV/0!</v>
      </c>
      <c r="P61" s="249"/>
      <c r="Q61" s="249"/>
      <c r="R61" s="249"/>
      <c r="S61" s="249"/>
      <c r="T61" s="246"/>
      <c r="U61" s="247"/>
      <c r="V61" s="272" t="e">
        <f>SQRT((V59*V59)+(V60*V60))</f>
        <v>#DIV/0!</v>
      </c>
    </row>
    <row r="62" spans="1:22" ht="24" customHeight="1" thickBot="1" x14ac:dyDescent="0.25">
      <c r="A62" s="610" t="s">
        <v>123</v>
      </c>
      <c r="B62" s="611"/>
      <c r="C62" s="612"/>
      <c r="D62" s="252"/>
      <c r="E62" s="252"/>
      <c r="F62" s="252"/>
      <c r="G62" s="204" t="s">
        <v>40</v>
      </c>
      <c r="H62" s="341" t="e">
        <f>MAX(H61:V61)*2</f>
        <v>#DIV/0!</v>
      </c>
      <c r="I62" s="254"/>
      <c r="J62" s="254"/>
      <c r="K62" s="254"/>
      <c r="L62" s="254"/>
      <c r="M62" s="252"/>
      <c r="N62" s="253"/>
      <c r="O62" s="255"/>
      <c r="P62" s="254"/>
      <c r="Q62" s="254"/>
      <c r="R62" s="254"/>
      <c r="S62" s="254"/>
      <c r="T62" s="252"/>
      <c r="U62" s="253"/>
      <c r="V62" s="256"/>
    </row>
    <row r="63" spans="1:22" ht="24" customHeight="1" x14ac:dyDescent="0.2">
      <c r="A63" s="14"/>
      <c r="B63" s="14"/>
      <c r="C63" s="14"/>
      <c r="D63" s="14"/>
      <c r="E63" s="14"/>
      <c r="F63" s="14"/>
      <c r="G63" s="14"/>
      <c r="H63" s="14"/>
      <c r="O63" s="14"/>
      <c r="P63" s="14"/>
      <c r="Q63" s="14"/>
      <c r="R63" s="14"/>
      <c r="S63" s="14"/>
    </row>
    <row r="64" spans="1:22" ht="24" customHeight="1" x14ac:dyDescent="0.2">
      <c r="A64" s="14"/>
      <c r="B64" s="14"/>
      <c r="C64" s="14"/>
      <c r="D64" s="14"/>
      <c r="E64" s="14"/>
      <c r="F64" s="14"/>
      <c r="G64" s="14"/>
      <c r="H64" s="14"/>
      <c r="O64" s="14"/>
      <c r="P64" s="14"/>
      <c r="Q64" s="14"/>
      <c r="R64" s="14"/>
      <c r="S64" s="14"/>
    </row>
    <row r="65" spans="1:20" ht="15.75" thickBot="1" x14ac:dyDescent="0.25">
      <c r="A65" s="310" t="s">
        <v>129</v>
      </c>
      <c r="B65" s="14"/>
      <c r="C65" s="14"/>
      <c r="D65" s="14"/>
      <c r="E65" s="14"/>
      <c r="F65" s="14"/>
      <c r="G65" s="14"/>
      <c r="H65" s="14"/>
      <c r="O65" s="14"/>
      <c r="P65" s="14"/>
      <c r="Q65" s="14"/>
      <c r="R65" s="14"/>
      <c r="S65" s="14"/>
    </row>
    <row r="66" spans="1:20" ht="30" customHeight="1" thickBot="1" x14ac:dyDescent="0.25">
      <c r="A66" s="257" t="s">
        <v>97</v>
      </c>
      <c r="B66" s="258" t="s">
        <v>98</v>
      </c>
      <c r="C66" s="226" t="s">
        <v>99</v>
      </c>
      <c r="D66" s="226" t="s">
        <v>100</v>
      </c>
      <c r="E66" s="226" t="s">
        <v>101</v>
      </c>
      <c r="F66" s="226" t="s">
        <v>102</v>
      </c>
      <c r="G66" s="226" t="s">
        <v>103</v>
      </c>
      <c r="H66" s="259" t="s">
        <v>104</v>
      </c>
      <c r="J66" s="615" t="s">
        <v>130</v>
      </c>
      <c r="K66" s="615"/>
      <c r="L66" s="615"/>
      <c r="M66" s="615"/>
      <c r="N66" s="615"/>
      <c r="O66" s="615"/>
      <c r="P66" s="615"/>
      <c r="Q66" s="615"/>
      <c r="R66" s="615"/>
      <c r="S66" s="615"/>
      <c r="T66" s="615"/>
    </row>
    <row r="67" spans="1:20" ht="28.5" customHeight="1" x14ac:dyDescent="0.2">
      <c r="A67" s="262" t="s">
        <v>119</v>
      </c>
      <c r="B67" s="430">
        <f>+(B68-B72)/K68</f>
        <v>2.8349140783220709E-2</v>
      </c>
      <c r="C67" s="431"/>
      <c r="D67" s="264"/>
      <c r="E67" s="264"/>
      <c r="F67" s="264"/>
      <c r="G67" s="264"/>
      <c r="H67" s="265"/>
      <c r="I67" s="14"/>
      <c r="J67" s="330" t="s">
        <v>131</v>
      </c>
      <c r="K67" s="331">
        <f>+DATOS!F18</f>
        <v>0</v>
      </c>
      <c r="M67" s="399">
        <v>1</v>
      </c>
      <c r="N67" s="400"/>
      <c r="O67" s="399">
        <v>2</v>
      </c>
      <c r="P67" s="400"/>
      <c r="Q67" s="399">
        <v>3</v>
      </c>
      <c r="R67" s="400"/>
      <c r="S67" s="399">
        <v>4</v>
      </c>
      <c r="T67" s="384"/>
    </row>
    <row r="68" spans="1:20" ht="28.5" customHeight="1" x14ac:dyDescent="0.2">
      <c r="A68" s="302" t="s">
        <v>237</v>
      </c>
      <c r="B68" s="316">
        <f>+IF(K67=1,M69,IF(K67=2,O69,IF(K67=3,Q69,S69)))*1000</f>
        <v>47130</v>
      </c>
      <c r="C68" s="205" t="s">
        <v>132</v>
      </c>
      <c r="D68" s="205"/>
      <c r="E68" s="205"/>
      <c r="F68" s="335">
        <f>SQRT((F69*F69)+(F70*F70)+(F71*F71))</f>
        <v>1.3319910226924705</v>
      </c>
      <c r="G68" s="239">
        <f>+IF(K67=1,1/M72,IF(K67=2,1/O72,IF(K67=3,1/Q72,IF(K67=4,1/S72,0))))</f>
        <v>0</v>
      </c>
      <c r="H68" s="230">
        <f>+F68*G68</f>
        <v>0</v>
      </c>
      <c r="I68" s="14"/>
      <c r="J68" s="14"/>
      <c r="K68" s="394">
        <f>+IF(K67=1,M72,IF(K67=2,O72,IF(K67=3,Q72,S72)))</f>
        <v>997420</v>
      </c>
      <c r="M68" s="401" t="s">
        <v>133</v>
      </c>
      <c r="N68" s="402"/>
      <c r="O68" s="403" t="s">
        <v>134</v>
      </c>
      <c r="P68" s="402"/>
      <c r="Q68" s="401" t="s">
        <v>135</v>
      </c>
      <c r="R68" s="402"/>
      <c r="S68" s="404">
        <v>1</v>
      </c>
      <c r="T68" s="385"/>
    </row>
    <row r="69" spans="1:20" ht="28.5" customHeight="1" x14ac:dyDescent="0.2">
      <c r="A69" s="220" t="s">
        <v>108</v>
      </c>
      <c r="B69" s="386"/>
      <c r="C69" s="340">
        <f>+IF(K67=1,N69,IF(K67=2,P69,IF(K67=3,R69,T69)))</f>
        <v>0</v>
      </c>
      <c r="D69" s="201" t="s">
        <v>112</v>
      </c>
      <c r="E69" s="203" t="s">
        <v>110</v>
      </c>
      <c r="F69" s="336">
        <f>C69</f>
        <v>0</v>
      </c>
      <c r="G69" s="234" t="s">
        <v>111</v>
      </c>
      <c r="H69" s="235" t="s">
        <v>111</v>
      </c>
      <c r="J69" s="319" t="s">
        <v>136</v>
      </c>
      <c r="K69" s="320"/>
      <c r="L69" s="321" t="s">
        <v>24</v>
      </c>
      <c r="M69" s="428">
        <v>5.1135999999999999</v>
      </c>
      <c r="N69" s="406">
        <f>+Balanza!G23</f>
        <v>0</v>
      </c>
      <c r="O69" s="428">
        <v>15.106999999999999</v>
      </c>
      <c r="P69" s="406">
        <f>+Balanza!H23</f>
        <v>0</v>
      </c>
      <c r="Q69" s="428">
        <v>24.763999999999999</v>
      </c>
      <c r="R69" s="407">
        <f>+Balanza!I23</f>
        <v>0</v>
      </c>
      <c r="S69" s="428">
        <v>47.13</v>
      </c>
      <c r="T69" s="397">
        <f>+Balanza!U23</f>
        <v>0</v>
      </c>
    </row>
    <row r="70" spans="1:20" ht="28.5" customHeight="1" x14ac:dyDescent="0.2">
      <c r="A70" s="221" t="s">
        <v>113</v>
      </c>
      <c r="B70" s="386"/>
      <c r="C70" s="202">
        <f>IF(K67&lt;=3,2*(SQRT(Balanza!$C$9+Balanza!$D$9*(POWER(B68,2)))),2*(SQRT(Balanza!$N$9+Balanza!$O$9*(POWER(B68,2)))))</f>
        <v>2.600666646227463</v>
      </c>
      <c r="D70" s="201" t="s">
        <v>112</v>
      </c>
      <c r="E70" s="222" t="s">
        <v>114</v>
      </c>
      <c r="F70" s="336">
        <f>C70/2</f>
        <v>1.3003333231137315</v>
      </c>
      <c r="G70" s="234" t="s">
        <v>111</v>
      </c>
      <c r="H70" s="235" t="s">
        <v>111</v>
      </c>
      <c r="J70" s="322" t="s">
        <v>137</v>
      </c>
      <c r="K70" s="323"/>
      <c r="L70" s="324" t="s">
        <v>24</v>
      </c>
      <c r="M70" s="428">
        <v>2.2429000000000001</v>
      </c>
      <c r="N70" s="406">
        <f>+Balanza!F23</f>
        <v>0</v>
      </c>
      <c r="O70" s="428">
        <v>5.6879999999999997</v>
      </c>
      <c r="P70" s="406">
        <f>+Balanza!F23</f>
        <v>0</v>
      </c>
      <c r="Q70" s="428">
        <v>10.565</v>
      </c>
      <c r="R70" s="407">
        <f>+Balanza!H23</f>
        <v>0</v>
      </c>
      <c r="S70" s="428">
        <v>18.853999999999999</v>
      </c>
      <c r="T70" s="397">
        <f>+Balanza!R23</f>
        <v>0</v>
      </c>
    </row>
    <row r="71" spans="1:20" ht="28.5" customHeight="1" x14ac:dyDescent="0.2">
      <c r="A71" s="237" t="s">
        <v>115</v>
      </c>
      <c r="B71" s="386"/>
      <c r="C71" s="202">
        <f>IF($K$67&lt;=3,Balanza!$C$11,Balanza!$N$11)</f>
        <v>1</v>
      </c>
      <c r="D71" s="201" t="s">
        <v>112</v>
      </c>
      <c r="E71" s="223" t="s">
        <v>116</v>
      </c>
      <c r="F71" s="336">
        <f>(C71/SQRT(3)/2)</f>
        <v>0.28867513459481292</v>
      </c>
      <c r="G71" s="234" t="s">
        <v>111</v>
      </c>
      <c r="H71" s="235" t="s">
        <v>111</v>
      </c>
      <c r="J71" s="325"/>
      <c r="K71" s="326" t="s">
        <v>138</v>
      </c>
      <c r="L71" s="321" t="s">
        <v>139</v>
      </c>
      <c r="M71" s="429">
        <v>22.3</v>
      </c>
      <c r="N71" s="405"/>
      <c r="O71" s="429">
        <v>22.3</v>
      </c>
      <c r="P71" s="405"/>
      <c r="Q71" s="429">
        <v>22.3</v>
      </c>
      <c r="R71" s="405"/>
      <c r="S71" s="429">
        <v>22.3</v>
      </c>
      <c r="T71" s="321"/>
    </row>
    <row r="72" spans="1:20" ht="28.5" customHeight="1" x14ac:dyDescent="0.2">
      <c r="A72" s="238" t="s">
        <v>238</v>
      </c>
      <c r="B72" s="316">
        <f>+IF(K67=1,M70,IF(K67=2,O70,IF(K67=3,Q70,S70)))*1000</f>
        <v>18854</v>
      </c>
      <c r="C72" s="225" t="s">
        <v>126</v>
      </c>
      <c r="D72" s="225"/>
      <c r="E72" s="225"/>
      <c r="F72" s="337">
        <f>SQRT((F73*F73)+(F74*F74)+(F75*F75))</f>
        <v>1.1452033512443689</v>
      </c>
      <c r="G72" s="239">
        <f>+IF(K67=1,1/M72,IF(K67=2,1/O72,IF(K67=3,1/Q72,IF(K67=4,1/S72,0))))</f>
        <v>0</v>
      </c>
      <c r="H72" s="414">
        <f>+G72*F72</f>
        <v>0</v>
      </c>
      <c r="J72" s="327"/>
      <c r="K72" s="328" t="s">
        <v>140</v>
      </c>
      <c r="L72" s="329" t="s">
        <v>239</v>
      </c>
      <c r="M72" s="405">
        <f>0.9979*1000*1000</f>
        <v>997900</v>
      </c>
      <c r="N72" s="405"/>
      <c r="O72" s="405">
        <f>0.99742*1000*1000</f>
        <v>997420</v>
      </c>
      <c r="P72" s="405"/>
      <c r="Q72" s="405">
        <f>0.99745*1000*1000</f>
        <v>997449.99999999988</v>
      </c>
      <c r="R72" s="405"/>
      <c r="S72" s="405">
        <f>0.99742*1000*1000</f>
        <v>997420</v>
      </c>
      <c r="T72" s="321"/>
    </row>
    <row r="73" spans="1:20" ht="28.5" customHeight="1" x14ac:dyDescent="0.2">
      <c r="A73" s="212" t="s">
        <v>108</v>
      </c>
      <c r="B73" s="381"/>
      <c r="C73" s="340">
        <f>+IF(K67=1,N70,IF(K67=2,P70,IF(K67=3,R70,T70)))</f>
        <v>0</v>
      </c>
      <c r="D73" s="201" t="s">
        <v>112</v>
      </c>
      <c r="E73" s="203" t="s">
        <v>110</v>
      </c>
      <c r="F73" s="233">
        <f>C73</f>
        <v>0</v>
      </c>
      <c r="G73" s="234" t="s">
        <v>111</v>
      </c>
      <c r="H73" s="235" t="s">
        <v>111</v>
      </c>
      <c r="M73" s="387"/>
    </row>
    <row r="74" spans="1:20" ht="28.5" customHeight="1" x14ac:dyDescent="0.2">
      <c r="A74" s="213" t="s">
        <v>113</v>
      </c>
      <c r="B74" s="381"/>
      <c r="C74" s="339">
        <f>IF(K67&lt;=3,2*(SQRT(Balanza!$C$9+Balanza!$D$9*(POWER(B72,2)))),2*(SQRT(Balanza!$N$9+Balanza!$O$9*(POWER(B72,2)))))</f>
        <v>2.2164452462156605</v>
      </c>
      <c r="D74" s="201" t="s">
        <v>112</v>
      </c>
      <c r="E74" s="222" t="s">
        <v>114</v>
      </c>
      <c r="F74" s="233">
        <f>C74/2</f>
        <v>1.1082226231078303</v>
      </c>
      <c r="G74" s="234" t="s">
        <v>111</v>
      </c>
      <c r="H74" s="235" t="s">
        <v>111</v>
      </c>
    </row>
    <row r="75" spans="1:20" ht="28.5" customHeight="1" thickBot="1" x14ac:dyDescent="0.25">
      <c r="A75" s="237" t="s">
        <v>115</v>
      </c>
      <c r="B75" s="381"/>
      <c r="C75" s="202">
        <f>IF($K$67&lt;=3,Balanza!$C$11,Balanza!$N$11)</f>
        <v>1</v>
      </c>
      <c r="D75" s="201" t="s">
        <v>112</v>
      </c>
      <c r="E75" s="223" t="s">
        <v>116</v>
      </c>
      <c r="F75" s="233">
        <f>(C75/SQRT(3)/2)</f>
        <v>0.28867513459481292</v>
      </c>
      <c r="G75" s="234" t="s">
        <v>111</v>
      </c>
      <c r="H75" s="235" t="s">
        <v>111</v>
      </c>
    </row>
    <row r="76" spans="1:20" ht="23.25" customHeight="1" x14ac:dyDescent="0.2">
      <c r="A76" s="613" t="s">
        <v>122</v>
      </c>
      <c r="B76" s="614"/>
      <c r="C76" s="614"/>
      <c r="D76" s="388"/>
      <c r="E76" s="332"/>
      <c r="F76" s="250"/>
      <c r="G76" s="251" t="s">
        <v>141</v>
      </c>
      <c r="H76" s="333">
        <f>SQRT((H68*H68)+(H72*H72))</f>
        <v>0</v>
      </c>
    </row>
    <row r="77" spans="1:20" ht="23.25" customHeight="1" thickBot="1" x14ac:dyDescent="0.25">
      <c r="A77" s="608" t="s">
        <v>123</v>
      </c>
      <c r="B77" s="609"/>
      <c r="C77" s="609"/>
      <c r="D77" s="204"/>
      <c r="E77" s="389"/>
      <c r="F77" s="252"/>
      <c r="G77" s="253" t="s">
        <v>141</v>
      </c>
      <c r="H77" s="334">
        <f>+H76*2</f>
        <v>0</v>
      </c>
    </row>
    <row r="80" spans="1:20" ht="15" customHeight="1" x14ac:dyDescent="0.2"/>
    <row r="81" spans="1:8" ht="15" customHeight="1" x14ac:dyDescent="0.2">
      <c r="A81" s="523" t="s">
        <v>293</v>
      </c>
      <c r="B81" s="620" t="s">
        <v>294</v>
      </c>
      <c r="C81" s="621"/>
      <c r="D81" s="524"/>
      <c r="E81" s="622" t="s">
        <v>295</v>
      </c>
      <c r="F81" s="622"/>
      <c r="G81" s="623" t="s">
        <v>296</v>
      </c>
      <c r="H81" s="624"/>
    </row>
    <row r="82" spans="1:8" ht="15" customHeight="1" x14ac:dyDescent="0.2"/>
    <row r="83" spans="1:8" ht="15" customHeight="1" x14ac:dyDescent="0.2">
      <c r="A83" s="525" t="s">
        <v>297</v>
      </c>
      <c r="B83" s="625">
        <v>44869</v>
      </c>
      <c r="C83" s="626"/>
      <c r="E83" s="627" t="s">
        <v>298</v>
      </c>
      <c r="F83" s="627"/>
      <c r="G83" s="625">
        <v>44870</v>
      </c>
      <c r="H83" s="626"/>
    </row>
    <row r="84" spans="1:8" ht="15" customHeight="1" x14ac:dyDescent="0.2"/>
  </sheetData>
  <sheetProtection algorithmName="SHA-512" hashValue="Ca6rFVnUnWjufw0irsNUiQ4PP94HHFrny/8JcuBmbErp6900Oq+IXou6Ml1hHYxXArKt/PiXlIq1xubzZ2HfZQ==" saltValue="2el68CNo3pm9AjFiYjvQzQ==" spinCount="100000" sheet="1" selectLockedCells="1" selectUnlockedCells="1"/>
  <mergeCells count="17">
    <mergeCell ref="B81:C81"/>
    <mergeCell ref="E81:F81"/>
    <mergeCell ref="G81:H81"/>
    <mergeCell ref="B83:C83"/>
    <mergeCell ref="E83:F83"/>
    <mergeCell ref="G83:H83"/>
    <mergeCell ref="B1:N4"/>
    <mergeCell ref="A1:A4"/>
    <mergeCell ref="A77:C77"/>
    <mergeCell ref="A54:C54"/>
    <mergeCell ref="A62:C62"/>
    <mergeCell ref="A76:C76"/>
    <mergeCell ref="J66:T66"/>
    <mergeCell ref="Q34:Q37"/>
    <mergeCell ref="Q38:AF38"/>
    <mergeCell ref="AC34:AF34"/>
    <mergeCell ref="R34:Y37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W70"/>
  <sheetViews>
    <sheetView topLeftCell="A16" workbookViewId="0">
      <selection activeCell="P23" sqref="P23"/>
    </sheetView>
  </sheetViews>
  <sheetFormatPr baseColWidth="10" defaultColWidth="11.42578125" defaultRowHeight="12.75" x14ac:dyDescent="0.2"/>
  <sheetData>
    <row r="2" spans="2:10" x14ac:dyDescent="0.2">
      <c r="B2" s="629" t="s">
        <v>157</v>
      </c>
      <c r="C2" s="629"/>
      <c r="D2" s="629"/>
      <c r="E2" s="629"/>
      <c r="F2" s="629"/>
      <c r="G2" s="629"/>
      <c r="H2" s="629"/>
    </row>
    <row r="3" spans="2:10" x14ac:dyDescent="0.2">
      <c r="B3" s="629"/>
      <c r="C3" s="629"/>
      <c r="D3" s="629"/>
      <c r="E3" s="629"/>
      <c r="F3" s="629"/>
      <c r="G3" s="629"/>
      <c r="H3" s="629"/>
    </row>
    <row r="4" spans="2:10" x14ac:dyDescent="0.2">
      <c r="B4" s="23"/>
    </row>
    <row r="5" spans="2:10" ht="21" customHeight="1" x14ac:dyDescent="0.2">
      <c r="D5" s="24" t="s">
        <v>158</v>
      </c>
      <c r="I5">
        <v>15.6</v>
      </c>
      <c r="J5">
        <v>999.01</v>
      </c>
    </row>
    <row r="6" spans="2:10" ht="21" customHeight="1" x14ac:dyDescent="0.2">
      <c r="B6" s="22"/>
      <c r="I6">
        <v>18.3</v>
      </c>
      <c r="J6">
        <v>998.54</v>
      </c>
    </row>
    <row r="7" spans="2:10" ht="21" customHeight="1" x14ac:dyDescent="0.2">
      <c r="I7">
        <v>21.1</v>
      </c>
      <c r="J7">
        <v>997.97</v>
      </c>
    </row>
    <row r="8" spans="2:10" ht="21" customHeight="1" x14ac:dyDescent="0.2">
      <c r="I8">
        <v>23</v>
      </c>
      <c r="J8">
        <v>997.54</v>
      </c>
    </row>
    <row r="9" spans="2:10" ht="21" customHeight="1" x14ac:dyDescent="0.2">
      <c r="B9" s="23"/>
      <c r="I9">
        <v>23.9</v>
      </c>
      <c r="J9">
        <v>997.32</v>
      </c>
    </row>
    <row r="10" spans="2:10" ht="21" customHeight="1" x14ac:dyDescent="0.2">
      <c r="I10">
        <v>26.7</v>
      </c>
      <c r="J10">
        <v>996.59</v>
      </c>
    </row>
    <row r="11" spans="2:10" ht="21" customHeight="1" x14ac:dyDescent="0.2">
      <c r="I11">
        <v>29.4</v>
      </c>
      <c r="J11">
        <v>995.83</v>
      </c>
    </row>
    <row r="12" spans="2:10" x14ac:dyDescent="0.2">
      <c r="B12" s="630" t="s">
        <v>159</v>
      </c>
      <c r="C12" s="630"/>
      <c r="D12" s="630"/>
      <c r="E12" s="630"/>
      <c r="F12" s="630"/>
      <c r="G12" s="630"/>
      <c r="H12" s="630"/>
    </row>
    <row r="14" spans="2:10" x14ac:dyDescent="0.2">
      <c r="B14" s="628" t="s">
        <v>160</v>
      </c>
      <c r="C14" s="628"/>
      <c r="D14" s="628"/>
      <c r="E14" s="628"/>
      <c r="F14" s="628"/>
      <c r="G14" s="628"/>
      <c r="H14" s="628"/>
    </row>
    <row r="15" spans="2:10" x14ac:dyDescent="0.2">
      <c r="B15" s="628"/>
      <c r="C15" s="628"/>
      <c r="D15" s="628"/>
      <c r="E15" s="628"/>
      <c r="F15" s="628"/>
      <c r="G15" s="628"/>
      <c r="H15" s="628"/>
    </row>
    <row r="16" spans="2:10" x14ac:dyDescent="0.2">
      <c r="B16" s="628"/>
      <c r="C16" s="628"/>
      <c r="D16" s="628"/>
      <c r="E16" s="628"/>
      <c r="F16" s="628"/>
      <c r="G16" s="628"/>
      <c r="H16" s="628"/>
    </row>
    <row r="17" spans="1:12" x14ac:dyDescent="0.2">
      <c r="B17" s="371"/>
      <c r="C17" s="371"/>
      <c r="D17" s="371"/>
      <c r="E17" s="371"/>
      <c r="F17" s="371"/>
      <c r="G17" s="371"/>
      <c r="H17" s="371"/>
    </row>
    <row r="18" spans="1:12" x14ac:dyDescent="0.2">
      <c r="A18" s="297" t="s">
        <v>161</v>
      </c>
      <c r="H18" s="371"/>
    </row>
    <row r="19" spans="1:12" x14ac:dyDescent="0.2">
      <c r="A19" s="633" t="s">
        <v>162</v>
      </c>
      <c r="B19" s="633"/>
      <c r="C19" s="633"/>
      <c r="D19" s="633"/>
      <c r="E19" s="633"/>
      <c r="F19" s="633"/>
      <c r="G19" s="633"/>
      <c r="H19" s="371"/>
    </row>
    <row r="20" spans="1:12" x14ac:dyDescent="0.2">
      <c r="A20" s="633"/>
      <c r="B20" s="633"/>
      <c r="C20" s="633"/>
      <c r="D20" s="633"/>
      <c r="E20" s="633"/>
      <c r="F20" s="633"/>
      <c r="G20" s="633"/>
      <c r="H20" s="371"/>
    </row>
    <row r="21" spans="1:12" x14ac:dyDescent="0.2">
      <c r="A21" s="633"/>
      <c r="B21" s="633"/>
      <c r="C21" s="633"/>
      <c r="D21" s="633"/>
      <c r="E21" s="633"/>
      <c r="F21" s="633"/>
      <c r="G21" s="633"/>
      <c r="H21" s="371"/>
    </row>
    <row r="22" spans="1:12" x14ac:dyDescent="0.2">
      <c r="A22" s="298"/>
      <c r="B22" s="298"/>
      <c r="C22" s="298"/>
      <c r="D22" s="298"/>
      <c r="H22" s="371"/>
    </row>
    <row r="23" spans="1:12" x14ac:dyDescent="0.2">
      <c r="A23" s="298"/>
      <c r="B23" s="297"/>
      <c r="C23" s="299" t="s">
        <v>163</v>
      </c>
      <c r="D23" s="300">
        <f>+F37</f>
        <v>5197.9000000000005</v>
      </c>
      <c r="H23" s="371"/>
    </row>
    <row r="25" spans="1:12" x14ac:dyDescent="0.2">
      <c r="B25" s="28" t="s">
        <v>164</v>
      </c>
    </row>
    <row r="27" spans="1:12" ht="25.5" x14ac:dyDescent="0.2">
      <c r="A27" s="33"/>
      <c r="B27" s="34"/>
      <c r="C27" s="631" t="s">
        <v>165</v>
      </c>
      <c r="D27" s="631"/>
      <c r="E27" s="631"/>
      <c r="F27" s="47" t="s">
        <v>166</v>
      </c>
      <c r="G27" s="48" t="s">
        <v>167</v>
      </c>
      <c r="I27" s="25" t="s">
        <v>168</v>
      </c>
      <c r="K27" s="26">
        <f>C35</f>
        <v>24.9</v>
      </c>
    </row>
    <row r="28" spans="1:12" x14ac:dyDescent="0.2">
      <c r="A28" s="39" t="s">
        <v>169</v>
      </c>
      <c r="B28" s="36"/>
      <c r="C28" s="42">
        <v>4545</v>
      </c>
      <c r="D28" s="42">
        <v>4545</v>
      </c>
      <c r="E28" s="42">
        <v>4545</v>
      </c>
      <c r="F28" s="44">
        <f>AVERAGE(C28:E28)</f>
        <v>4545</v>
      </c>
    </row>
    <row r="29" spans="1:12" ht="15.75" x14ac:dyDescent="0.2">
      <c r="A29" s="39"/>
      <c r="B29" s="36"/>
      <c r="C29" s="38"/>
      <c r="D29" s="38"/>
      <c r="E29" s="38"/>
      <c r="F29" s="34"/>
      <c r="I29" s="25" t="s">
        <v>170</v>
      </c>
      <c r="K29" s="27">
        <f>(-0.2306*K27)+1002.8</f>
        <v>997.05805999999995</v>
      </c>
    </row>
    <row r="30" spans="1:12" x14ac:dyDescent="0.2">
      <c r="A30" s="39" t="s">
        <v>171</v>
      </c>
      <c r="B30" s="36"/>
      <c r="C30" s="41">
        <v>457</v>
      </c>
      <c r="D30" s="41">
        <v>457</v>
      </c>
      <c r="E30" s="41">
        <v>457</v>
      </c>
      <c r="F30" s="45">
        <f>AVERAGE(C30:E30)</f>
        <v>457</v>
      </c>
    </row>
    <row r="31" spans="1:12" x14ac:dyDescent="0.2">
      <c r="A31" s="39"/>
      <c r="B31" s="36"/>
      <c r="C31" s="38"/>
      <c r="D31" s="38"/>
      <c r="E31" s="38"/>
      <c r="F31" s="38"/>
      <c r="I31" s="25" t="s">
        <v>172</v>
      </c>
      <c r="K31" s="32">
        <f>+DATOS!F20</f>
        <v>0</v>
      </c>
      <c r="L31" s="31" t="s">
        <v>173</v>
      </c>
    </row>
    <row r="32" spans="1:12" x14ac:dyDescent="0.2">
      <c r="A32" s="39" t="s">
        <v>174</v>
      </c>
      <c r="B32" s="35"/>
      <c r="C32" s="41">
        <v>3456</v>
      </c>
      <c r="D32" s="41">
        <v>3456</v>
      </c>
      <c r="E32" s="41">
        <v>3457</v>
      </c>
      <c r="F32" s="45">
        <f>AVERAGE(C32:E32)</f>
        <v>3456.3333333333335</v>
      </c>
      <c r="G32" s="46">
        <f>STDEV(C32:E32)</f>
        <v>0.57735026918962584</v>
      </c>
      <c r="L32" s="30"/>
    </row>
    <row r="33" spans="1:23" ht="15.75" x14ac:dyDescent="0.2">
      <c r="A33" s="39"/>
      <c r="B33" s="35"/>
      <c r="C33" s="37"/>
      <c r="D33" s="37"/>
      <c r="E33" s="37"/>
      <c r="F33" s="34"/>
      <c r="I33" s="25" t="s">
        <v>175</v>
      </c>
      <c r="K33" s="43">
        <f>K31*K29/1000</f>
        <v>0</v>
      </c>
      <c r="L33" s="29" t="s">
        <v>173</v>
      </c>
    </row>
    <row r="34" spans="1:23" x14ac:dyDescent="0.2">
      <c r="A34" s="39" t="s">
        <v>176</v>
      </c>
      <c r="B34" s="36"/>
      <c r="C34" s="41">
        <v>8654</v>
      </c>
      <c r="D34" s="41">
        <v>8654.2000000000007</v>
      </c>
      <c r="E34" s="41">
        <v>8654.5</v>
      </c>
      <c r="F34" s="45">
        <v>8654.1</v>
      </c>
      <c r="G34" s="46">
        <f>STDEV(C34:E34)</f>
        <v>0.25166114784231014</v>
      </c>
    </row>
    <row r="35" spans="1:23" ht="22.5" customHeight="1" x14ac:dyDescent="0.2">
      <c r="A35" s="39" t="s">
        <v>177</v>
      </c>
      <c r="B35" s="36"/>
      <c r="C35" s="41">
        <v>24.9</v>
      </c>
      <c r="D35" s="38"/>
      <c r="E35" s="38"/>
      <c r="F35" s="38"/>
    </row>
    <row r="36" spans="1:23" x14ac:dyDescent="0.2">
      <c r="A36" s="39"/>
      <c r="B36" s="40"/>
      <c r="C36" s="33"/>
      <c r="D36" s="38"/>
      <c r="E36" s="38"/>
      <c r="F36" s="38"/>
    </row>
    <row r="37" spans="1:23" x14ac:dyDescent="0.2">
      <c r="A37" s="39" t="s">
        <v>178</v>
      </c>
      <c r="B37" s="35"/>
      <c r="C37" s="41">
        <f>C34-C32</f>
        <v>5198</v>
      </c>
      <c r="D37" s="41">
        <f t="shared" ref="D37:E37" si="0">D34-D32</f>
        <v>5198.2000000000007</v>
      </c>
      <c r="E37" s="41">
        <f t="shared" si="0"/>
        <v>5197.5</v>
      </c>
      <c r="F37" s="301">
        <f>AVERAGE(C37:E37)</f>
        <v>5197.9000000000005</v>
      </c>
    </row>
    <row r="39" spans="1:23" x14ac:dyDescent="0.2">
      <c r="A39" s="137" t="s">
        <v>179</v>
      </c>
      <c r="B39" s="25"/>
    </row>
    <row r="40" spans="1:23" ht="13.5" thickBot="1" x14ac:dyDescent="0.25">
      <c r="B40" s="25"/>
    </row>
    <row r="41" spans="1:23" x14ac:dyDescent="0.2">
      <c r="A41" s="126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8"/>
    </row>
    <row r="42" spans="1:23" x14ac:dyDescent="0.2">
      <c r="A42" s="129"/>
      <c r="W42" s="130"/>
    </row>
    <row r="43" spans="1:23" x14ac:dyDescent="0.2">
      <c r="A43" s="634" t="s">
        <v>180</v>
      </c>
      <c r="B43" s="635"/>
      <c r="C43" s="635"/>
      <c r="D43" s="635"/>
      <c r="E43" s="635"/>
      <c r="F43" s="635"/>
      <c r="G43" s="635"/>
      <c r="I43" s="634" t="s">
        <v>181</v>
      </c>
      <c r="J43" s="635"/>
      <c r="K43" s="635"/>
      <c r="L43" s="635"/>
      <c r="M43" s="635"/>
      <c r="N43" s="635"/>
      <c r="O43" s="635"/>
      <c r="Q43" s="634" t="s">
        <v>182</v>
      </c>
      <c r="R43" s="635"/>
      <c r="S43" s="635"/>
      <c r="T43" s="635"/>
      <c r="U43" s="635"/>
      <c r="V43" s="635"/>
      <c r="W43" s="636"/>
    </row>
    <row r="44" spans="1:23" x14ac:dyDescent="0.2">
      <c r="A44" s="129"/>
      <c r="W44" s="130"/>
    </row>
    <row r="45" spans="1:23" ht="25.5" x14ac:dyDescent="0.2">
      <c r="A45" s="131"/>
      <c r="B45" s="34"/>
      <c r="C45" s="632" t="s">
        <v>165</v>
      </c>
      <c r="D45" s="632"/>
      <c r="E45" s="632"/>
      <c r="F45" s="47" t="s">
        <v>166</v>
      </c>
      <c r="G45" s="48" t="s">
        <v>167</v>
      </c>
      <c r="I45" s="33"/>
      <c r="J45" s="34"/>
      <c r="K45" s="632" t="s">
        <v>165</v>
      </c>
      <c r="L45" s="632"/>
      <c r="M45" s="632"/>
      <c r="N45" s="47" t="s">
        <v>166</v>
      </c>
      <c r="O45" s="48" t="s">
        <v>167</v>
      </c>
      <c r="Q45" s="33"/>
      <c r="R45" s="34"/>
      <c r="S45" s="632" t="s">
        <v>165</v>
      </c>
      <c r="T45" s="632"/>
      <c r="U45" s="632"/>
      <c r="V45" s="47" t="s">
        <v>166</v>
      </c>
      <c r="W45" s="132" t="s">
        <v>167</v>
      </c>
    </row>
    <row r="46" spans="1:23" x14ac:dyDescent="0.2">
      <c r="A46" s="39" t="s">
        <v>169</v>
      </c>
      <c r="B46" s="36"/>
      <c r="C46" s="42">
        <v>149.30000000000001</v>
      </c>
      <c r="D46" s="42">
        <v>148.9</v>
      </c>
      <c r="E46" s="42">
        <v>149.1</v>
      </c>
      <c r="F46" s="44">
        <f>AVERAGE(C46:E46)</f>
        <v>149.10000000000002</v>
      </c>
      <c r="I46" s="39" t="s">
        <v>169</v>
      </c>
      <c r="J46" s="36"/>
      <c r="K46" s="42">
        <v>230.5</v>
      </c>
      <c r="L46" s="42">
        <v>230.5</v>
      </c>
      <c r="M46" s="42">
        <v>230.5</v>
      </c>
      <c r="N46" s="44">
        <f>AVERAGE(K46:M46)</f>
        <v>230.5</v>
      </c>
      <c r="Q46" s="39" t="s">
        <v>169</v>
      </c>
      <c r="R46" s="36"/>
      <c r="S46" s="42">
        <v>280</v>
      </c>
      <c r="T46" s="42">
        <v>280</v>
      </c>
      <c r="U46" s="42">
        <v>280</v>
      </c>
      <c r="V46" s="44">
        <f>AVERAGE(S46:U46)</f>
        <v>280</v>
      </c>
      <c r="W46" s="130"/>
    </row>
    <row r="47" spans="1:23" ht="15.75" x14ac:dyDescent="0.2">
      <c r="A47" s="39"/>
      <c r="B47" s="36"/>
      <c r="C47" s="38"/>
      <c r="D47" s="38"/>
      <c r="E47" s="38"/>
      <c r="F47" s="34"/>
      <c r="I47" s="39"/>
      <c r="J47" s="36"/>
      <c r="K47" s="38"/>
      <c r="L47" s="38"/>
      <c r="M47" s="38"/>
      <c r="N47" s="34"/>
      <c r="Q47" s="39"/>
      <c r="R47" s="36"/>
      <c r="S47" s="38"/>
      <c r="T47" s="38"/>
      <c r="U47" s="38"/>
      <c r="V47" s="34"/>
      <c r="W47" s="130"/>
    </row>
    <row r="48" spans="1:23" x14ac:dyDescent="0.2">
      <c r="A48" s="39" t="s">
        <v>171</v>
      </c>
      <c r="B48" s="36"/>
      <c r="C48" s="41">
        <v>156.58000000000001</v>
      </c>
      <c r="D48" s="41">
        <v>156.6</v>
      </c>
      <c r="E48" s="41">
        <v>156.61000000000001</v>
      </c>
      <c r="F48" s="45">
        <f>AVERAGE(C48:E48)</f>
        <v>156.59666666666666</v>
      </c>
      <c r="I48" s="39" t="s">
        <v>171</v>
      </c>
      <c r="J48" s="36"/>
      <c r="K48" s="41">
        <v>228</v>
      </c>
      <c r="L48" s="41">
        <v>228</v>
      </c>
      <c r="M48" s="41">
        <v>228</v>
      </c>
      <c r="N48" s="45">
        <f>AVERAGE(K48:M48)</f>
        <v>228</v>
      </c>
      <c r="Q48" s="39" t="s">
        <v>171</v>
      </c>
      <c r="R48" s="36"/>
      <c r="S48" s="41">
        <v>254.4</v>
      </c>
      <c r="T48" s="41">
        <v>254.5</v>
      </c>
      <c r="U48" s="41">
        <v>254.5</v>
      </c>
      <c r="V48" s="45">
        <f>AVERAGE(S48:U48)</f>
        <v>254.46666666666667</v>
      </c>
      <c r="W48" s="130"/>
    </row>
    <row r="49" spans="1:23" x14ac:dyDescent="0.2">
      <c r="A49" s="39"/>
      <c r="B49" s="36"/>
      <c r="C49" s="38"/>
      <c r="D49" s="38"/>
      <c r="E49" s="38"/>
      <c r="F49" s="38"/>
      <c r="I49" s="39"/>
      <c r="J49" s="36"/>
      <c r="K49" s="38"/>
      <c r="L49" s="38"/>
      <c r="M49" s="38"/>
      <c r="N49" s="38"/>
      <c r="Q49" s="39"/>
      <c r="R49" s="36"/>
      <c r="S49" s="38"/>
      <c r="T49" s="38"/>
      <c r="U49" s="38"/>
      <c r="V49" s="38"/>
      <c r="W49" s="130"/>
    </row>
    <row r="50" spans="1:23" x14ac:dyDescent="0.2">
      <c r="A50" s="39" t="s">
        <v>174</v>
      </c>
      <c r="B50" s="35"/>
      <c r="C50" s="41">
        <v>2595</v>
      </c>
      <c r="D50" s="41">
        <v>2595</v>
      </c>
      <c r="E50" s="41"/>
      <c r="F50" s="45">
        <f>AVERAGE(C50:E50)</f>
        <v>2595</v>
      </c>
      <c r="G50" s="46">
        <f>STDEV(C50:E50)</f>
        <v>0</v>
      </c>
      <c r="I50" s="39" t="s">
        <v>174</v>
      </c>
      <c r="J50" s="35"/>
      <c r="K50" s="41">
        <v>5694</v>
      </c>
      <c r="L50" s="41">
        <v>5694</v>
      </c>
      <c r="M50" s="41"/>
      <c r="N50" s="45">
        <f>AVERAGE(K50:M50)</f>
        <v>5694</v>
      </c>
      <c r="O50" s="46">
        <f>STDEV(K50:M50)</f>
        <v>0</v>
      </c>
      <c r="Q50" s="39" t="s">
        <v>174</v>
      </c>
      <c r="R50" s="35"/>
      <c r="S50" s="41">
        <v>10564</v>
      </c>
      <c r="T50" s="41">
        <v>10564</v>
      </c>
      <c r="U50" s="41"/>
      <c r="V50" s="45">
        <f>AVERAGE(S50:U50)</f>
        <v>10564</v>
      </c>
      <c r="W50" s="133">
        <f>STDEV(S50:U50)</f>
        <v>0</v>
      </c>
    </row>
    <row r="51" spans="1:23" ht="15.75" x14ac:dyDescent="0.2">
      <c r="A51" s="39"/>
      <c r="B51" s="35"/>
      <c r="C51" s="37"/>
      <c r="D51" s="37"/>
      <c r="E51" s="37"/>
      <c r="F51" s="34"/>
      <c r="I51" s="39"/>
      <c r="J51" s="35"/>
      <c r="K51" s="37"/>
      <c r="L51" s="37"/>
      <c r="M51" s="37"/>
      <c r="N51" s="34"/>
      <c r="Q51" s="39"/>
      <c r="R51" s="35"/>
      <c r="S51" s="37"/>
      <c r="T51" s="37"/>
      <c r="U51" s="37"/>
      <c r="V51" s="34"/>
      <c r="W51" s="130"/>
    </row>
    <row r="52" spans="1:23" x14ac:dyDescent="0.2">
      <c r="A52" s="39" t="s">
        <v>176</v>
      </c>
      <c r="B52" s="36"/>
      <c r="C52" s="41">
        <v>5455</v>
      </c>
      <c r="D52" s="41">
        <v>5455</v>
      </c>
      <c r="E52" s="41"/>
      <c r="F52" s="45">
        <v>8654.1</v>
      </c>
      <c r="G52" s="46">
        <f>STDEV(C52:E52)</f>
        <v>0</v>
      </c>
      <c r="I52" s="39" t="s">
        <v>176</v>
      </c>
      <c r="J52" s="36"/>
      <c r="K52" s="41">
        <v>15059</v>
      </c>
      <c r="L52" s="41">
        <v>15054</v>
      </c>
      <c r="M52" s="41"/>
      <c r="N52" s="45">
        <v>8654.1</v>
      </c>
      <c r="O52" s="46">
        <f>STDEV(K52:M52)</f>
        <v>3.5355339059327378</v>
      </c>
      <c r="Q52" s="39" t="s">
        <v>176</v>
      </c>
      <c r="R52" s="36"/>
      <c r="S52" s="41">
        <v>24664</v>
      </c>
      <c r="T52" s="41">
        <v>24664</v>
      </c>
      <c r="U52" s="41"/>
      <c r="V52" s="45">
        <v>8654.1</v>
      </c>
      <c r="W52" s="133">
        <f>STDEV(S52:U52)</f>
        <v>0</v>
      </c>
    </row>
    <row r="53" spans="1:23" x14ac:dyDescent="0.2">
      <c r="A53" s="39" t="s">
        <v>177</v>
      </c>
      <c r="B53" s="36"/>
      <c r="C53" s="41">
        <v>23.2</v>
      </c>
      <c r="D53" s="38"/>
      <c r="E53" s="38"/>
      <c r="F53" s="38"/>
      <c r="I53" s="39" t="s">
        <v>177</v>
      </c>
      <c r="J53" s="36"/>
      <c r="K53" s="41">
        <v>9.36</v>
      </c>
      <c r="L53" s="38"/>
      <c r="M53" s="38"/>
      <c r="N53" s="38"/>
      <c r="Q53" s="39" t="s">
        <v>177</v>
      </c>
      <c r="R53" s="36"/>
      <c r="S53" s="41">
        <v>14.1</v>
      </c>
      <c r="T53" s="38"/>
      <c r="U53" s="38"/>
      <c r="V53" s="38"/>
      <c r="W53" s="130"/>
    </row>
    <row r="54" spans="1:23" x14ac:dyDescent="0.2">
      <c r="A54" s="129"/>
      <c r="W54" s="130"/>
    </row>
    <row r="55" spans="1:23" x14ac:dyDescent="0.2">
      <c r="A55" s="129"/>
      <c r="W55" s="130"/>
    </row>
    <row r="56" spans="1:23" x14ac:dyDescent="0.2">
      <c r="A56" s="129"/>
      <c r="W56" s="130"/>
    </row>
    <row r="57" spans="1:23" x14ac:dyDescent="0.2">
      <c r="A57" s="634" t="s">
        <v>183</v>
      </c>
      <c r="B57" s="635"/>
      <c r="C57" s="635"/>
      <c r="D57" s="635"/>
      <c r="E57" s="635"/>
      <c r="F57" s="635"/>
      <c r="G57" s="635"/>
      <c r="W57" s="130"/>
    </row>
    <row r="58" spans="1:23" x14ac:dyDescent="0.2">
      <c r="A58" s="129"/>
      <c r="W58" s="130"/>
    </row>
    <row r="59" spans="1:23" ht="25.5" x14ac:dyDescent="0.2">
      <c r="A59" s="131"/>
      <c r="B59" s="34"/>
      <c r="C59" s="632" t="s">
        <v>165</v>
      </c>
      <c r="D59" s="632"/>
      <c r="E59" s="632"/>
      <c r="F59" s="47" t="s">
        <v>166</v>
      </c>
      <c r="G59" s="48" t="s">
        <v>167</v>
      </c>
      <c r="W59" s="130"/>
    </row>
    <row r="60" spans="1:23" x14ac:dyDescent="0.2">
      <c r="A60" s="39" t="s">
        <v>169</v>
      </c>
      <c r="B60" s="36"/>
      <c r="C60" s="42">
        <v>329</v>
      </c>
      <c r="D60" s="42">
        <v>329</v>
      </c>
      <c r="E60" s="42">
        <v>329</v>
      </c>
      <c r="F60" s="44">
        <f>AVERAGE(C60:E60)</f>
        <v>329</v>
      </c>
      <c r="W60" s="130"/>
    </row>
    <row r="61" spans="1:23" ht="15.75" x14ac:dyDescent="0.2">
      <c r="A61" s="39"/>
      <c r="B61" s="36"/>
      <c r="C61" s="38"/>
      <c r="D61" s="38"/>
      <c r="E61" s="38"/>
      <c r="F61" s="34"/>
      <c r="W61" s="130"/>
    </row>
    <row r="62" spans="1:23" x14ac:dyDescent="0.2">
      <c r="A62" s="39" t="s">
        <v>171</v>
      </c>
      <c r="B62" s="36"/>
      <c r="C62" s="41">
        <v>331</v>
      </c>
      <c r="D62" s="41">
        <v>331</v>
      </c>
      <c r="E62" s="41">
        <v>331</v>
      </c>
      <c r="F62" s="45">
        <f>AVERAGE(C62:E62)</f>
        <v>331</v>
      </c>
      <c r="W62" s="130"/>
    </row>
    <row r="63" spans="1:23" x14ac:dyDescent="0.2">
      <c r="A63" s="39"/>
      <c r="B63" s="36"/>
      <c r="C63" s="38"/>
      <c r="D63" s="38"/>
      <c r="E63" s="38"/>
      <c r="F63" s="38"/>
      <c r="W63" s="130"/>
    </row>
    <row r="64" spans="1:23" x14ac:dyDescent="0.2">
      <c r="A64" s="39" t="s">
        <v>174</v>
      </c>
      <c r="B64" s="35"/>
      <c r="C64" s="41">
        <v>188</v>
      </c>
      <c r="D64" s="41">
        <v>188</v>
      </c>
      <c r="E64" s="41"/>
      <c r="F64" s="45">
        <f>AVERAGE(C64:E64)</f>
        <v>188</v>
      </c>
      <c r="G64" s="46">
        <f>STDEV(C64:E64)</f>
        <v>0</v>
      </c>
      <c r="W64" s="130"/>
    </row>
    <row r="65" spans="1:23" ht="15.75" x14ac:dyDescent="0.2">
      <c r="A65" s="39"/>
      <c r="B65" s="35"/>
      <c r="C65" s="37"/>
      <c r="D65" s="37"/>
      <c r="E65" s="37"/>
      <c r="F65" s="34"/>
      <c r="W65" s="130"/>
    </row>
    <row r="66" spans="1:23" x14ac:dyDescent="0.2">
      <c r="A66" s="39" t="s">
        <v>176</v>
      </c>
      <c r="B66" s="36"/>
      <c r="C66" s="41">
        <v>468</v>
      </c>
      <c r="D66" s="41">
        <v>468</v>
      </c>
      <c r="E66" s="41"/>
      <c r="F66" s="45">
        <v>8654.1</v>
      </c>
      <c r="G66" s="46">
        <f>STDEV(C66:E66)</f>
        <v>0</v>
      </c>
      <c r="W66" s="130"/>
    </row>
    <row r="67" spans="1:23" x14ac:dyDescent="0.2">
      <c r="A67" s="39" t="s">
        <v>177</v>
      </c>
      <c r="B67" s="36"/>
      <c r="C67" s="41">
        <v>23.2</v>
      </c>
      <c r="D67" s="38"/>
      <c r="E67" s="38"/>
      <c r="F67" s="38"/>
      <c r="W67" s="130"/>
    </row>
    <row r="68" spans="1:23" x14ac:dyDescent="0.2">
      <c r="A68" s="129"/>
      <c r="W68" s="130"/>
    </row>
    <row r="69" spans="1:23" x14ac:dyDescent="0.2">
      <c r="A69" s="129"/>
      <c r="W69" s="130"/>
    </row>
    <row r="70" spans="1:23" ht="13.5" thickBot="1" x14ac:dyDescent="0.25">
      <c r="A70" s="134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6"/>
    </row>
  </sheetData>
  <mergeCells count="13">
    <mergeCell ref="K45:M45"/>
    <mergeCell ref="S45:U45"/>
    <mergeCell ref="C59:E59"/>
    <mergeCell ref="A43:G43"/>
    <mergeCell ref="I43:O43"/>
    <mergeCell ref="Q43:W43"/>
    <mergeCell ref="A57:G57"/>
    <mergeCell ref="B14:H16"/>
    <mergeCell ref="B2:H3"/>
    <mergeCell ref="B12:H12"/>
    <mergeCell ref="C27:E27"/>
    <mergeCell ref="C45:E45"/>
    <mergeCell ref="A19:G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30"/>
  <sheetViews>
    <sheetView topLeftCell="A16" zoomScaleNormal="100" workbookViewId="0">
      <selection activeCell="I38" sqref="I38"/>
    </sheetView>
  </sheetViews>
  <sheetFormatPr baseColWidth="10" defaultColWidth="11.42578125" defaultRowHeight="12.75" x14ac:dyDescent="0.2"/>
  <cols>
    <col min="1" max="2" width="11.42578125" style="16"/>
    <col min="3" max="3" width="10.42578125" style="16" customWidth="1"/>
    <col min="4" max="4" width="12" style="16" customWidth="1"/>
    <col min="5" max="5" width="13.140625" style="16" customWidth="1"/>
    <col min="6" max="7" width="11.42578125" style="16"/>
    <col min="8" max="8" width="14.42578125" style="16" customWidth="1"/>
    <col min="9" max="9" width="11.42578125" style="16"/>
    <col min="10" max="10" width="11.42578125" style="16" customWidth="1"/>
    <col min="11" max="13" width="11.42578125" style="16"/>
    <col min="14" max="14" width="11.42578125" style="16" customWidth="1"/>
    <col min="15" max="16384" width="11.42578125" style="16"/>
  </cols>
  <sheetData>
    <row r="1" spans="2:23" x14ac:dyDescent="0.2">
      <c r="B1" s="303" t="s">
        <v>142</v>
      </c>
      <c r="C1" s="297"/>
      <c r="D1" s="297"/>
      <c r="M1" s="303" t="s">
        <v>142</v>
      </c>
      <c r="N1" s="297"/>
      <c r="O1" s="297"/>
    </row>
    <row r="2" spans="2:23" x14ac:dyDescent="0.2">
      <c r="B2" s="303"/>
      <c r="C2" s="297"/>
      <c r="D2" s="297"/>
      <c r="M2" s="303"/>
      <c r="N2" s="297"/>
      <c r="O2" s="297"/>
    </row>
    <row r="3" spans="2:23" x14ac:dyDescent="0.2">
      <c r="B3" s="303"/>
      <c r="C3" s="297"/>
      <c r="D3" s="297"/>
      <c r="M3" s="303"/>
      <c r="N3" s="297"/>
      <c r="O3" s="297"/>
    </row>
    <row r="4" spans="2:23" x14ac:dyDescent="0.2">
      <c r="B4" s="303"/>
      <c r="C4" s="297"/>
      <c r="D4" s="297"/>
      <c r="M4" s="303"/>
      <c r="N4" s="297"/>
      <c r="O4" s="297"/>
      <c r="Q4" s="16" t="s">
        <v>143</v>
      </c>
    </row>
    <row r="5" spans="2:23" x14ac:dyDescent="0.2">
      <c r="B5" s="303"/>
      <c r="C5" s="297"/>
      <c r="D5" s="297"/>
      <c r="H5" s="16" t="s">
        <v>144</v>
      </c>
      <c r="M5" s="303"/>
      <c r="N5" s="297"/>
      <c r="O5" s="297"/>
    </row>
    <row r="6" spans="2:23" ht="10.5" customHeight="1" x14ac:dyDescent="0.2">
      <c r="B6" s="303"/>
      <c r="C6" s="297"/>
      <c r="D6" s="297"/>
      <c r="M6" s="303"/>
      <c r="N6" s="297"/>
      <c r="O6" s="297"/>
    </row>
    <row r="7" spans="2:23" ht="12.75" customHeight="1" x14ac:dyDescent="0.2">
      <c r="B7" s="303"/>
      <c r="C7" s="297"/>
      <c r="D7" s="297"/>
      <c r="J7" s="637">
        <f>+DATOS!F18</f>
        <v>0</v>
      </c>
      <c r="K7" s="638"/>
      <c r="M7" s="303"/>
      <c r="N7" s="297"/>
      <c r="O7" s="297"/>
    </row>
    <row r="8" spans="2:23" ht="18" customHeight="1" x14ac:dyDescent="0.2">
      <c r="B8" s="15" t="s">
        <v>145</v>
      </c>
      <c r="C8" s="432">
        <v>-1.4899999999999999E-6</v>
      </c>
      <c r="J8" s="321">
        <f>+IF($J$7&lt;=2,C9,N9)</f>
        <v>1.1399999999999999</v>
      </c>
      <c r="K8" s="321">
        <f>+IF($J$7&lt;=2,D9,O9)</f>
        <v>2.4800000000000002E-10</v>
      </c>
      <c r="M8" s="15" t="s">
        <v>145</v>
      </c>
      <c r="N8" s="304">
        <v>-7.7300000000000005E-6</v>
      </c>
    </row>
    <row r="9" spans="2:23" ht="18" customHeight="1" x14ac:dyDescent="0.2">
      <c r="B9" s="16" t="s">
        <v>146</v>
      </c>
      <c r="C9" s="433">
        <v>1.1399999999999999</v>
      </c>
      <c r="D9" s="434">
        <v>2.4800000000000002E-10</v>
      </c>
      <c r="J9" s="321">
        <f>+IF($J$7&lt;=2,C11,N11)</f>
        <v>1</v>
      </c>
      <c r="M9" s="16" t="s">
        <v>146</v>
      </c>
      <c r="N9" s="304">
        <v>6.3899999999999995E-5</v>
      </c>
      <c r="O9" s="304">
        <v>6.9699999999999997E-10</v>
      </c>
    </row>
    <row r="10" spans="2:23" ht="18.75" customHeight="1" x14ac:dyDescent="0.2">
      <c r="B10" s="16" t="s">
        <v>147</v>
      </c>
      <c r="C10" s="435" t="s">
        <v>299</v>
      </c>
      <c r="D10" s="15"/>
      <c r="F10" s="305" t="s">
        <v>112</v>
      </c>
      <c r="M10" s="16" t="s">
        <v>147</v>
      </c>
      <c r="N10" s="306" t="s">
        <v>300</v>
      </c>
      <c r="O10" s="15"/>
      <c r="Q10" s="305" t="s">
        <v>24</v>
      </c>
    </row>
    <row r="11" spans="2:23" ht="18" customHeight="1" x14ac:dyDescent="0.2">
      <c r="B11" s="16" t="s">
        <v>148</v>
      </c>
      <c r="C11" s="306">
        <v>1</v>
      </c>
      <c r="D11" s="15" t="s">
        <v>112</v>
      </c>
      <c r="M11" s="16" t="s">
        <v>148</v>
      </c>
      <c r="N11" s="306">
        <v>0.01</v>
      </c>
      <c r="O11" s="15" t="s">
        <v>24</v>
      </c>
    </row>
    <row r="12" spans="2:23" ht="18" customHeight="1" x14ac:dyDescent="0.2">
      <c r="B12" s="16" t="s">
        <v>149</v>
      </c>
      <c r="C12" s="15" t="s">
        <v>50</v>
      </c>
      <c r="M12" s="16" t="s">
        <v>149</v>
      </c>
      <c r="N12" s="15" t="s">
        <v>54</v>
      </c>
    </row>
    <row r="13" spans="2:23" ht="18" customHeight="1" x14ac:dyDescent="0.2">
      <c r="B13" s="436" t="s">
        <v>242</v>
      </c>
      <c r="C13" s="373"/>
      <c r="D13" s="528">
        <v>46160</v>
      </c>
      <c r="M13" s="191" t="s">
        <v>242</v>
      </c>
      <c r="N13" s="190"/>
      <c r="O13" s="527">
        <v>46160</v>
      </c>
    </row>
    <row r="14" spans="2:23" ht="12.75" customHeight="1" x14ac:dyDescent="0.2">
      <c r="B14" s="344" t="s">
        <v>150</v>
      </c>
      <c r="C14" s="345" t="s">
        <v>151</v>
      </c>
      <c r="D14" s="344">
        <v>500</v>
      </c>
      <c r="E14" s="344">
        <v>1000</v>
      </c>
      <c r="F14" s="344">
        <v>5000</v>
      </c>
      <c r="G14" s="344">
        <v>10000</v>
      </c>
      <c r="H14" s="344">
        <v>15000</v>
      </c>
      <c r="I14" s="344">
        <v>20000</v>
      </c>
      <c r="M14" s="344" t="s">
        <v>150</v>
      </c>
      <c r="N14" s="345" t="s">
        <v>151</v>
      </c>
      <c r="O14" s="344">
        <v>5</v>
      </c>
      <c r="P14" s="344">
        <v>10</v>
      </c>
      <c r="Q14" s="344">
        <v>15</v>
      </c>
      <c r="R14" s="344">
        <v>20</v>
      </c>
      <c r="S14" s="344">
        <v>30</v>
      </c>
      <c r="T14" s="344">
        <v>40</v>
      </c>
      <c r="U14" s="344">
        <v>60</v>
      </c>
      <c r="V14" s="344"/>
      <c r="W14" s="344"/>
    </row>
    <row r="15" spans="2:23" x14ac:dyDescent="0.2">
      <c r="B15" s="425"/>
      <c r="C15" s="426"/>
      <c r="D15" s="367"/>
      <c r="E15" s="367"/>
      <c r="F15" s="367"/>
      <c r="G15" s="367"/>
      <c r="H15" s="367"/>
      <c r="I15" s="367"/>
      <c r="M15" s="425"/>
      <c r="N15" s="426"/>
      <c r="O15" s="368"/>
      <c r="P15" s="368"/>
      <c r="Q15" s="368"/>
      <c r="R15" s="368"/>
      <c r="S15" s="368"/>
      <c r="T15" s="368"/>
      <c r="U15" s="368"/>
      <c r="V15" s="368"/>
      <c r="W15" s="368"/>
    </row>
    <row r="16" spans="2:23" x14ac:dyDescent="0.2">
      <c r="B16" s="425"/>
      <c r="C16" s="426"/>
      <c r="D16" s="367"/>
      <c r="E16" s="367"/>
      <c r="F16" s="367"/>
      <c r="G16" s="367"/>
      <c r="H16" s="367"/>
      <c r="I16" s="367"/>
      <c r="M16" s="425"/>
      <c r="N16" s="426"/>
      <c r="O16" s="368"/>
      <c r="P16" s="368"/>
      <c r="Q16" s="368"/>
      <c r="R16" s="368"/>
      <c r="S16" s="368"/>
      <c r="T16" s="368"/>
      <c r="U16" s="368"/>
      <c r="V16" s="368"/>
      <c r="W16" s="368"/>
    </row>
    <row r="18" spans="2:23" x14ac:dyDescent="0.2">
      <c r="B18" s="192">
        <f>COUNT(B14:B16)</f>
        <v>0</v>
      </c>
      <c r="C18" s="21" t="s">
        <v>152</v>
      </c>
      <c r="D18" s="194">
        <v>0</v>
      </c>
      <c r="E18" s="194">
        <v>0</v>
      </c>
      <c r="F18" s="194">
        <v>0</v>
      </c>
      <c r="G18" s="194">
        <v>0</v>
      </c>
      <c r="H18" s="194">
        <v>0</v>
      </c>
      <c r="I18" s="194">
        <v>0</v>
      </c>
      <c r="M18" s="192">
        <f>COUNT(M14:M16)</f>
        <v>0</v>
      </c>
      <c r="N18" s="21" t="s">
        <v>152</v>
      </c>
      <c r="O18" s="194">
        <v>0</v>
      </c>
      <c r="P18" s="194">
        <v>0</v>
      </c>
      <c r="Q18" s="194">
        <v>0</v>
      </c>
      <c r="R18" s="194">
        <v>0</v>
      </c>
      <c r="S18" s="194">
        <v>0</v>
      </c>
      <c r="T18" s="194">
        <v>0</v>
      </c>
      <c r="U18" s="194">
        <v>0</v>
      </c>
      <c r="V18" s="194"/>
      <c r="W18" s="194"/>
    </row>
    <row r="20" spans="2:23" x14ac:dyDescent="0.2">
      <c r="D20" s="297" t="s">
        <v>153</v>
      </c>
      <c r="O20" s="297" t="s">
        <v>153</v>
      </c>
    </row>
    <row r="22" spans="2:23" ht="15.75" customHeight="1" x14ac:dyDescent="0.2">
      <c r="D22" s="193">
        <v>500</v>
      </c>
      <c r="E22" s="193">
        <v>1000</v>
      </c>
      <c r="F22" s="193">
        <v>5000</v>
      </c>
      <c r="G22" s="193">
        <v>10000</v>
      </c>
      <c r="H22" s="193">
        <v>15000</v>
      </c>
      <c r="I22" s="193">
        <v>20000</v>
      </c>
      <c r="O22" s="338">
        <f t="shared" ref="O22:W22" si="0">+O14</f>
        <v>5</v>
      </c>
      <c r="P22" s="338">
        <f t="shared" si="0"/>
        <v>10</v>
      </c>
      <c r="Q22" s="338">
        <f t="shared" si="0"/>
        <v>15</v>
      </c>
      <c r="R22" s="338">
        <f t="shared" si="0"/>
        <v>20</v>
      </c>
      <c r="S22" s="338">
        <f t="shared" si="0"/>
        <v>30</v>
      </c>
      <c r="T22" s="338">
        <f t="shared" si="0"/>
        <v>40</v>
      </c>
      <c r="U22" s="338">
        <f t="shared" si="0"/>
        <v>60</v>
      </c>
      <c r="V22" s="338">
        <f t="shared" si="0"/>
        <v>0</v>
      </c>
      <c r="W22" s="338">
        <f t="shared" si="0"/>
        <v>0</v>
      </c>
    </row>
    <row r="23" spans="2:23" x14ac:dyDescent="0.2">
      <c r="D23" s="194">
        <f t="shared" ref="D23:I23" si="1">D18</f>
        <v>0</v>
      </c>
      <c r="E23" s="194">
        <f t="shared" si="1"/>
        <v>0</v>
      </c>
      <c r="F23" s="194">
        <f t="shared" si="1"/>
        <v>0</v>
      </c>
      <c r="G23" s="194">
        <f t="shared" si="1"/>
        <v>0</v>
      </c>
      <c r="H23" s="194">
        <f t="shared" si="1"/>
        <v>0</v>
      </c>
      <c r="I23" s="194">
        <f t="shared" si="1"/>
        <v>0</v>
      </c>
      <c r="O23" s="194">
        <f>O18</f>
        <v>0</v>
      </c>
      <c r="P23" s="194">
        <f>P18</f>
        <v>0</v>
      </c>
      <c r="Q23" s="194">
        <f>Q18</f>
        <v>0</v>
      </c>
      <c r="R23" s="194">
        <f>R18</f>
        <v>0</v>
      </c>
      <c r="S23" s="194">
        <f>S18</f>
        <v>0</v>
      </c>
      <c r="T23" s="194">
        <f t="shared" ref="T23:W23" si="2">T18</f>
        <v>0</v>
      </c>
      <c r="U23" s="194">
        <f t="shared" si="2"/>
        <v>0</v>
      </c>
      <c r="V23" s="194">
        <f t="shared" si="2"/>
        <v>0</v>
      </c>
      <c r="W23" s="194">
        <f t="shared" si="2"/>
        <v>0</v>
      </c>
    </row>
    <row r="24" spans="2:23" x14ac:dyDescent="0.2">
      <c r="G24" s="20"/>
      <c r="H24" s="20"/>
      <c r="I24" s="20"/>
      <c r="R24" s="20"/>
      <c r="S24" s="20"/>
      <c r="T24" s="20"/>
    </row>
    <row r="25" spans="2:23" x14ac:dyDescent="0.2">
      <c r="B25" s="275"/>
      <c r="C25" s="17"/>
      <c r="D25" s="274" t="s">
        <v>154</v>
      </c>
      <c r="E25" s="274"/>
      <c r="F25" s="274" t="s">
        <v>155</v>
      </c>
      <c r="G25" s="274"/>
      <c r="H25" s="274" t="s">
        <v>156</v>
      </c>
      <c r="I25" s="274"/>
      <c r="M25" s="275"/>
      <c r="N25" s="17"/>
      <c r="O25" s="274" t="s">
        <v>154</v>
      </c>
      <c r="P25" s="274"/>
      <c r="Q25" s="274" t="s">
        <v>155</v>
      </c>
      <c r="R25" s="274"/>
      <c r="S25" s="274" t="s">
        <v>156</v>
      </c>
      <c r="T25" s="274"/>
    </row>
    <row r="26" spans="2:23" x14ac:dyDescent="0.2">
      <c r="B26" s="199"/>
      <c r="C26" s="276" t="s">
        <v>106</v>
      </c>
      <c r="D26" s="308">
        <f>+DATOS!F24</f>
        <v>0</v>
      </c>
      <c r="E26" s="194">
        <f>IF((D26*1000)&lt;=$D$22,$D$23,IF(AND((D26*1000)&gt;$D$22,(D26*1000)&lt;=$E$22),$E$23,IF(AND((D26*1000)&gt;$E$22,(D26*1000)&lt;=$F$22),$F$23,IF(AND((D26*1000)&gt;$F$22,(D26*1000)&lt;=$G$22),$G$23,IF(AND((D26*1000)&gt;$G$22,(D26*1000)&lt;=$H$22),$H$23,IF(AND((D26*1000)&gt;$H$22,(D26*1000)&lt;=$I$22),$I$23,$I$23))))))</f>
        <v>0</v>
      </c>
      <c r="F26" s="308">
        <f>+DATOS!H24</f>
        <v>0</v>
      </c>
      <c r="G26" s="194">
        <f>IF((F26*1000)&lt;=$D$22,$D$23,IF(AND((F26*1000)&gt;$D$22,(F26*1000)&lt;=$E$22),$E$23,IF(AND((F26*1000)&gt;$E$22,(F26*1000)&lt;=$F$22),$F$23,IF(AND((F26*1000)&gt;$F$22,(F26*1000)&lt;=$G$22),$G$23,IF(AND((F26*1000)&gt;$G$22,(F26*1000)&lt;=$H$22),$H$23,IF(AND((F26*1000)&gt;$H$22,(F26*1000)&lt;=$I$22),$I$23,$I$23))))))</f>
        <v>0</v>
      </c>
      <c r="H26" s="308">
        <f>+DATOS!J24</f>
        <v>0</v>
      </c>
      <c r="I26" s="194">
        <f>IF((H26*1000)&lt;=$D$22,$D$23,IF(AND((H26*1000)&gt;$D$22,(H26*1000)&lt;=$E$22),$E$23,IF(AND((H26*1000)&gt;$E$22,(H26*1000)&lt;=$F$22),$F$23,IF(AND((H26*1000)&gt;$F$22,(H26*1000)&lt;=$G$22),$G$23,IF(AND((H26*1000)&gt;$G$22,(H26*1000)&lt;=$H$22),$H$23,IF(AND((H26*1000)&gt;$H$22,(H26*1000)&lt;=$I$22),$I$23,$I$23))))))</f>
        <v>0</v>
      </c>
      <c r="M26" s="199"/>
      <c r="N26" s="276" t="s">
        <v>106</v>
      </c>
      <c r="O26" s="308">
        <f>+D26</f>
        <v>0</v>
      </c>
      <c r="P26" s="194">
        <f>IF(O26&lt;=$O$22,$O$23,IF(AND(O26&gt;$O$22,O26&lt;=$P$22),$P$23,IF(AND(O26&gt;$P$22,O26&lt;=$Q$22),$Q$23,IF(AND(O26&gt;$Q$22,O26&lt;=$R$22),$R$23,IF(AND(O26&gt;$R$22,O26&lt;=$S$22),$S$23,IF(AND(O26&gt;$S$22,O26&lt;=$T$22),$T$23,IF(AND(O26&gt;$T$22,O26&lt;=$U$22),$U$23,IF(AND(O26&gt;$U$22,O26&lt;=$V$22),$V$23,IF(AND(O26&gt;$V$22,O26&lt;=$W$22),$W$23,$W$23)))))))))</f>
        <v>0</v>
      </c>
      <c r="Q26" s="308">
        <f>+F26</f>
        <v>0</v>
      </c>
      <c r="R26" s="194">
        <f>IF(Q26&lt;=$O$22,$O$23,IF(AND(Q26&gt;$O$22,Q26&lt;=$P$22),$P$23,IF(AND(Q26&gt;$P$22,Q26&lt;=$Q$22),$Q$23,IF(AND(Q26&gt;$Q$22,Q26&lt;=$R$22),$R$23,IF(AND(Q26&gt;$R$22,Q26&lt;=$S$22),$S$23,IF(AND(Q26&gt;$S$22,Q26&lt;=$T$22),$T$23,IF(AND(Q26&gt;$T$22,Q26&lt;=$U$22),$U$23,IF(AND(Q26&gt;$U$22,Q26&lt;=$V$22),$V$23,IF(AND(Q26&gt;$V$22,Q26&lt;=$W$22),$W$23,$W$23)))))))))</f>
        <v>0</v>
      </c>
      <c r="S26" s="308">
        <f>+H26</f>
        <v>0</v>
      </c>
      <c r="T26" s="194">
        <f>IF(S26&lt;=$O$22,$O$23,IF(AND(S26&gt;$O$22,S26&lt;=$P$22),$P$23,IF(AND(S26&gt;$P$22,S26&lt;=$Q$22),$Q$23,IF(AND(S26&gt;$Q$22,S26&lt;=$R$22),$R$23,IF(AND(S26&gt;$R$22,S26&lt;=$S$22),$S$23,IF(AND(S26&gt;$S$22,S26&lt;=$T$22),$T$23,IF(AND(S26&gt;$T$22,S26&lt;=$U$22),$U$23,IF(AND(S26&gt;$U$22,S26&lt;=$V$22),$V$23,IF(AND(S26&gt;$V$22,S26&lt;=$W$22),$W$23,$W$23)))))))))</f>
        <v>0</v>
      </c>
    </row>
    <row r="27" spans="2:23" x14ac:dyDescent="0.2">
      <c r="B27" s="275"/>
      <c r="C27" s="278" t="s">
        <v>117</v>
      </c>
      <c r="D27" s="308">
        <f>+DATOS!G19</f>
        <v>0</v>
      </c>
      <c r="E27" s="194">
        <f>IF((D27*1000)&lt;=$D$22,$D$23,IF(AND((D27*1000)&gt;$D$22,(D27*1000)&lt;=$E$22),$E$23,IF(AND((D27*1000)&gt;$E$22,(D27*1000)&lt;=$F$22),$F$23,IF(AND((D27*1000)&gt;$F$22,(D27*1000)&lt;=$G$22),$G$23,IF(AND((D27*1000)&gt;$G$22,(D27*1000)&lt;=$H$22),$H$23,IF(AND((D27*1000)&gt;$H$22,(D27*1000)&lt;=$I$22),$I$23,$I$23))))))</f>
        <v>0</v>
      </c>
      <c r="F27" s="308">
        <f>+D27</f>
        <v>0</v>
      </c>
      <c r="G27" s="194">
        <f>IF((F27*1000)&lt;=$D$22,$D$23,IF(AND((F27*1000)&gt;$D$22,(F27*1000)&lt;=$E$22),$E$23,IF(AND((F27*1000)&gt;$E$22,(F27*1000)&lt;=$F$22),$F$23,IF(AND((F27*1000)&gt;$F$22,(F27*1000)&lt;=$G$22),$G$23,IF(AND((F27*1000)&gt;$G$22,(F27*1000)&lt;=$H$22),$H$23,IF(AND((F27*1000)&gt;$H$22,(F27*1000)&lt;=$I$22),$I$23,$I$23))))))</f>
        <v>0</v>
      </c>
      <c r="H27" s="308">
        <f>+D27</f>
        <v>0</v>
      </c>
      <c r="I27" s="194">
        <f>IF((H27*1000)&lt;=$D$22,$D$23,IF(AND((H27*1000)&gt;$D$22,(H27*1000)&lt;=$E$22),$E$23,IF(AND((H27*1000)&gt;$E$22,(H27*1000)&lt;=$F$22),$F$23,IF(AND((H27*1000)&gt;$F$22,(H27*1000)&lt;=$G$22),$G$23,IF(AND((H27*1000)&gt;$G$22,(H27*1000)&lt;=$H$22),$H$23,IF(AND((H27*1000)&gt;$H$22,(H27*1000)&lt;=$I$22),$I$23,$I$23))))))</f>
        <v>0</v>
      </c>
      <c r="M27" s="275"/>
      <c r="N27" s="278" t="s">
        <v>117</v>
      </c>
      <c r="O27" s="308">
        <f>+D27</f>
        <v>0</v>
      </c>
      <c r="P27" s="194">
        <f>IF(O27&lt;=$O$22,$O$23,IF(AND(O27&gt;$O$22,O27&lt;=$P$22),$P$23,IF(AND(O27&gt;$P$22,O27&lt;=$Q$22),$Q$23,IF(AND(O27&gt;$Q$22,O27&lt;=$R$22),$R$23,IF(AND(O27&gt;$R$22,O27&lt;=$S$22),$S$23,IF(AND(O27&gt;$S$22,O27&lt;=$T$22),$T$23,IF(AND(O27&gt;$T$22,O27&lt;=$U$22),$U$23,IF(AND(O27&gt;$U$22,O27&lt;=$V$22),$V$23,IF(AND(O27&gt;$V$22,O27&lt;=$W$22),$W$23,$W$23)))))))))</f>
        <v>0</v>
      </c>
      <c r="Q27" s="308">
        <f>+F27</f>
        <v>0</v>
      </c>
      <c r="R27" s="194">
        <f>IF(Q27&lt;=$O$22,$O$23,IF(AND(Q27&gt;$O$22,Q27&lt;=$P$22),$P$23,IF(AND(Q27&gt;$P$22,Q27&lt;=$Q$22),$Q$23,IF(AND(Q27&gt;$Q$22,Q27&lt;=$R$22),$R$23,IF(AND(Q27&gt;$R$22,Q27&lt;=$S$22),$S$23,IF(AND(Q27&gt;$S$22,Q27&lt;=$T$22),$T$23,IF(AND(Q27&gt;$T$22,Q27&lt;=$U$22),$U$23,IF(AND(Q27&gt;$U$22,Q27&lt;=$V$22),$V$23,IF(AND(Q27&gt;$V$22,Q27&lt;=$W$22),$W$23,$W$23)))))))))</f>
        <v>0</v>
      </c>
      <c r="S27" s="308">
        <f>+H27</f>
        <v>0</v>
      </c>
      <c r="T27" s="194">
        <f>IF(S27&lt;=$O$22,$O$23,IF(AND(S27&gt;$O$22,S27&lt;=$P$22),$P$23,IF(AND(S27&gt;$P$22,S27&lt;=$Q$22),$Q$23,IF(AND(S27&gt;$Q$22,S27&lt;=$R$22),$R$23,IF(AND(S27&gt;$R$22,S27&lt;=$S$22),$S$23,IF(AND(S27&gt;$S$22,S27&lt;=$T$22),$T$23,IF(AND(S27&gt;$T$22,S27&lt;=$U$22),$U$23,IF(AND(S27&gt;$U$22,S27&lt;=$V$22),$V$23,IF(AND(S27&gt;$V$22,S27&lt;=$W$22),$W$23,$W$23)))))))))</f>
        <v>0</v>
      </c>
    </row>
    <row r="28" spans="2:23" x14ac:dyDescent="0.2">
      <c r="B28" s="200"/>
      <c r="C28" s="277" t="s">
        <v>119</v>
      </c>
      <c r="D28" s="309">
        <f>+DATOS!G20</f>
        <v>0</v>
      </c>
      <c r="E28" s="274"/>
      <c r="F28" s="274"/>
      <c r="G28" s="274"/>
      <c r="H28" s="274"/>
      <c r="I28" s="274"/>
      <c r="M28" s="275"/>
      <c r="N28" s="278" t="s">
        <v>119</v>
      </c>
      <c r="O28" s="309">
        <f>+D28</f>
        <v>0</v>
      </c>
      <c r="P28" s="274"/>
      <c r="Q28" s="274"/>
      <c r="R28" s="274"/>
      <c r="S28" s="274"/>
      <c r="T28" s="274"/>
    </row>
    <row r="30" spans="2:23" x14ac:dyDescent="0.2">
      <c r="B30" s="296"/>
      <c r="M30" s="296"/>
    </row>
  </sheetData>
  <sheetProtection algorithmName="SHA-512" hashValue="17hmoB4nt5G5kz8fsCUT2PVpaoDd9p868h5a9/az0zzBRIQcONnkQzRD64X1ibn2VJRh9PtNU3ZhAmubMJxDJQ==" saltValue="lfFwcfKqiZha85IHXJ5jyA==" spinCount="100000" sheet="1" objects="1" scenarios="1"/>
  <mergeCells count="1">
    <mergeCell ref="J7:K7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3"/>
  <sheetViews>
    <sheetView workbookViewId="0">
      <selection activeCell="C31" sqref="C31"/>
    </sheetView>
  </sheetViews>
  <sheetFormatPr baseColWidth="10" defaultColWidth="11.42578125" defaultRowHeight="12.75" x14ac:dyDescent="0.2"/>
  <cols>
    <col min="1" max="1" width="39.140625" style="187" customWidth="1"/>
    <col min="2" max="5" width="11.42578125" style="187"/>
    <col min="6" max="6" width="4" style="187" customWidth="1"/>
    <col min="7" max="7" width="2.5703125" style="187" customWidth="1"/>
    <col min="8" max="8" width="40.140625" style="187" customWidth="1"/>
    <col min="9" max="16384" width="11.42578125" style="187"/>
  </cols>
  <sheetData>
    <row r="2" spans="1:17" ht="15" x14ac:dyDescent="0.25">
      <c r="A2" s="287"/>
    </row>
    <row r="3" spans="1:17" ht="14.25" x14ac:dyDescent="0.2">
      <c r="A3" s="288" t="s">
        <v>301</v>
      </c>
    </row>
    <row r="4" spans="1:17" ht="14.25" x14ac:dyDescent="0.2">
      <c r="A4" s="288" t="s">
        <v>184</v>
      </c>
      <c r="B4" s="396">
        <v>46112</v>
      </c>
      <c r="G4" s="290"/>
    </row>
    <row r="5" spans="1:17" ht="14.25" x14ac:dyDescent="0.2">
      <c r="A5" s="288"/>
      <c r="B5" s="289"/>
      <c r="G5" s="290"/>
    </row>
    <row r="6" spans="1:17" ht="15" x14ac:dyDescent="0.25">
      <c r="A6" s="287" t="s">
        <v>185</v>
      </c>
      <c r="D6" s="287"/>
      <c r="G6" s="529"/>
      <c r="H6" s="287" t="s">
        <v>186</v>
      </c>
      <c r="K6" s="287"/>
    </row>
    <row r="7" spans="1:17" ht="18.75" customHeight="1" x14ac:dyDescent="0.2">
      <c r="A7" s="292" t="s">
        <v>195</v>
      </c>
      <c r="B7" s="644">
        <v>3.4123957045519271</v>
      </c>
      <c r="C7" s="644"/>
      <c r="D7" s="644"/>
      <c r="H7" s="292" t="s">
        <v>195</v>
      </c>
      <c r="I7" s="641">
        <v>3.642343567906063</v>
      </c>
      <c r="J7" s="642"/>
      <c r="K7" s="643"/>
      <c r="L7" s="188"/>
      <c r="N7" s="647"/>
      <c r="O7" s="189"/>
      <c r="P7" s="189"/>
      <c r="Q7" s="189"/>
    </row>
    <row r="8" spans="1:17" ht="18.75" customHeight="1" x14ac:dyDescent="0.2">
      <c r="A8" s="292" t="s">
        <v>196</v>
      </c>
      <c r="B8" s="644">
        <v>3.4843565749349814</v>
      </c>
      <c r="C8" s="644"/>
      <c r="D8" s="644"/>
      <c r="H8" s="292" t="s">
        <v>196</v>
      </c>
      <c r="I8" s="641">
        <v>3.867001901105275</v>
      </c>
      <c r="J8" s="642"/>
      <c r="K8" s="643"/>
      <c r="L8" s="188"/>
      <c r="N8" s="647"/>
      <c r="O8" s="189"/>
      <c r="P8" s="189"/>
      <c r="Q8" s="189"/>
    </row>
    <row r="9" spans="1:17" ht="18.75" hidden="1" customHeight="1" x14ac:dyDescent="0.2">
      <c r="A9" s="293" t="s">
        <v>187</v>
      </c>
      <c r="B9" s="648" t="e">
        <f>+#REF!*#REF!+#REF!*#REF!</f>
        <v>#REF!</v>
      </c>
      <c r="C9" s="648"/>
      <c r="D9" s="648"/>
      <c r="E9" s="188"/>
      <c r="H9" s="293" t="s">
        <v>187</v>
      </c>
      <c r="I9" s="648" t="e">
        <f>+#REF!*#REF!+#REF!*#REF!</f>
        <v>#REF!</v>
      </c>
      <c r="J9" s="648"/>
      <c r="K9" s="648"/>
      <c r="L9" s="188"/>
      <c r="N9" s="647"/>
      <c r="O9" s="189"/>
      <c r="P9" s="189"/>
      <c r="Q9" s="189"/>
    </row>
    <row r="10" spans="1:17" ht="18.75" hidden="1" customHeight="1" x14ac:dyDescent="0.2">
      <c r="A10" s="293" t="s">
        <v>188</v>
      </c>
      <c r="B10" s="645" t="e">
        <f>+#REF!*POWER(#REF!,2)+#REF!*POWER(#REF!,2)</f>
        <v>#REF!</v>
      </c>
      <c r="C10" s="645"/>
      <c r="D10" s="645"/>
      <c r="E10" s="188"/>
      <c r="H10" s="293" t="s">
        <v>188</v>
      </c>
      <c r="I10" s="645" t="e">
        <f>+#REF!*POWER(#REF!,2)+#REF!*POWER(#REF!,2)</f>
        <v>#REF!</v>
      </c>
      <c r="J10" s="645"/>
      <c r="K10" s="645"/>
      <c r="L10" s="188"/>
      <c r="N10" s="647"/>
      <c r="O10" s="189"/>
      <c r="P10" s="189"/>
      <c r="Q10" s="189"/>
    </row>
    <row r="11" spans="1:17" ht="18.75" hidden="1" customHeight="1" x14ac:dyDescent="0.2">
      <c r="A11" s="293" t="s">
        <v>189</v>
      </c>
      <c r="B11" s="645" t="e">
        <f>+SUM(#REF!)</f>
        <v>#REF!</v>
      </c>
      <c r="C11" s="645"/>
      <c r="D11" s="645"/>
      <c r="E11" s="188"/>
      <c r="H11" s="293" t="s">
        <v>189</v>
      </c>
      <c r="I11" s="645" t="e">
        <f>+SUM(#REF!)</f>
        <v>#REF!</v>
      </c>
      <c r="J11" s="645"/>
      <c r="K11" s="645"/>
      <c r="L11" s="188"/>
    </row>
    <row r="12" spans="1:17" ht="18.75" hidden="1" customHeight="1" x14ac:dyDescent="0.2">
      <c r="A12" s="293" t="s">
        <v>190</v>
      </c>
      <c r="B12" s="645" t="e">
        <f>+POWER(#REF!,2)+POWER(#REF!,2)</f>
        <v>#REF!</v>
      </c>
      <c r="C12" s="645"/>
      <c r="D12" s="645"/>
      <c r="E12" s="188"/>
      <c r="H12" s="293" t="s">
        <v>190</v>
      </c>
      <c r="I12" s="645" t="e">
        <f>+POWER(#REF!,2)+POWER(#REF!,2)</f>
        <v>#REF!</v>
      </c>
      <c r="J12" s="645"/>
      <c r="K12" s="645"/>
      <c r="L12" s="188"/>
    </row>
    <row r="13" spans="1:17" ht="18.75" hidden="1" customHeight="1" x14ac:dyDescent="0.2">
      <c r="A13" s="293" t="s">
        <v>191</v>
      </c>
      <c r="B13" s="649" t="e">
        <f>(#REF!-1)*SUM(#REF!)</f>
        <v>#REF!</v>
      </c>
      <c r="C13" s="649"/>
      <c r="D13" s="649"/>
      <c r="E13" s="188"/>
      <c r="H13" s="293" t="s">
        <v>191</v>
      </c>
      <c r="I13" s="649" t="e">
        <f>(#REF!-1)*SUM(#REF!)</f>
        <v>#REF!</v>
      </c>
      <c r="J13" s="649"/>
      <c r="K13" s="649"/>
      <c r="L13" s="188"/>
    </row>
    <row r="14" spans="1:17" ht="18.75" hidden="1" customHeight="1" x14ac:dyDescent="0.2">
      <c r="A14" s="292" t="s">
        <v>192</v>
      </c>
      <c r="B14" s="650" t="e">
        <f>ABS((B13/(B11-#REF!)))</f>
        <v>#REF!</v>
      </c>
      <c r="C14" s="650"/>
      <c r="D14" s="650"/>
      <c r="E14" s="411"/>
      <c r="H14" s="292" t="s">
        <v>192</v>
      </c>
      <c r="I14" s="650" t="e">
        <f>ABS((I13/(I11-#REF!)))</f>
        <v>#REF!</v>
      </c>
      <c r="J14" s="650"/>
      <c r="K14" s="650"/>
      <c r="L14" s="188"/>
    </row>
    <row r="15" spans="1:17" ht="18.75" hidden="1" customHeight="1" x14ac:dyDescent="0.2">
      <c r="A15" s="292" t="s">
        <v>193</v>
      </c>
      <c r="B15" s="651" t="e">
        <f>ABS((((B10*B11-(B9^2))/(B11*(#REF!-1)))-(B14))*((B11*(#REF!-1))/((B11^2)-B12)))</f>
        <v>#REF!</v>
      </c>
      <c r="C15" s="651"/>
      <c r="D15" s="651"/>
      <c r="H15" s="292" t="s">
        <v>193</v>
      </c>
      <c r="I15" s="651" t="e">
        <f>ABS((((I10*I11-(I9^2))/(I11*(#REF!-1)))-(I14))*((I11*(#REF!-1))/((I11^2)-I12)))</f>
        <v>#REF!</v>
      </c>
      <c r="J15" s="651"/>
      <c r="K15" s="651"/>
      <c r="L15" s="188"/>
    </row>
    <row r="16" spans="1:17" ht="18.75" hidden="1" customHeight="1" x14ac:dyDescent="0.2">
      <c r="A16" s="292" t="s">
        <v>194</v>
      </c>
      <c r="B16" s="646" t="e">
        <f>(B14+B15)/1000000</f>
        <v>#REF!</v>
      </c>
      <c r="C16" s="646"/>
      <c r="D16" s="646"/>
      <c r="E16" s="188"/>
      <c r="H16" s="292" t="s">
        <v>194</v>
      </c>
      <c r="I16" s="646" t="e">
        <f>(I14+I15)/1000000</f>
        <v>#REF!</v>
      </c>
      <c r="J16" s="646"/>
      <c r="K16" s="646"/>
      <c r="L16" s="188"/>
    </row>
    <row r="17" spans="1:12" ht="18.75" hidden="1" customHeight="1" x14ac:dyDescent="0.2">
      <c r="A17" s="292" t="s">
        <v>195</v>
      </c>
      <c r="B17" s="646" t="e">
        <f>SQRT(B14)</f>
        <v>#REF!</v>
      </c>
      <c r="C17" s="646"/>
      <c r="D17" s="646"/>
      <c r="E17" s="188"/>
      <c r="H17" s="292" t="s">
        <v>195</v>
      </c>
      <c r="I17" s="646" t="e">
        <f>SQRT(I14)</f>
        <v>#REF!</v>
      </c>
      <c r="J17" s="646"/>
      <c r="K17" s="646"/>
      <c r="L17" s="188"/>
    </row>
    <row r="18" spans="1:12" ht="18.75" hidden="1" customHeight="1" x14ac:dyDescent="0.2">
      <c r="A18" s="292" t="s">
        <v>196</v>
      </c>
      <c r="B18" s="646" t="e">
        <f>+SQRT(B14+B15)</f>
        <v>#REF!</v>
      </c>
      <c r="C18" s="646"/>
      <c r="D18" s="646"/>
      <c r="E18" s="188"/>
      <c r="H18" s="292" t="s">
        <v>196</v>
      </c>
      <c r="I18" s="646" t="e">
        <f>+SQRT(I14+I15)</f>
        <v>#REF!</v>
      </c>
      <c r="J18" s="646"/>
      <c r="K18" s="646"/>
      <c r="L18" s="188"/>
    </row>
    <row r="19" spans="1:12" hidden="1" x14ac:dyDescent="0.2"/>
    <row r="21" spans="1:12" x14ac:dyDescent="0.2">
      <c r="A21" s="291" t="s">
        <v>229</v>
      </c>
      <c r="B21" s="639">
        <f>+I7</f>
        <v>3.642343567906063</v>
      </c>
      <c r="C21" s="640"/>
      <c r="D21" s="640"/>
    </row>
    <row r="22" spans="1:12" x14ac:dyDescent="0.2">
      <c r="A22" s="291" t="s">
        <v>230</v>
      </c>
      <c r="B22" s="639">
        <f>+B7</f>
        <v>3.4123957045519271</v>
      </c>
      <c r="C22" s="640"/>
      <c r="D22" s="640"/>
    </row>
    <row r="23" spans="1:12" x14ac:dyDescent="0.2">
      <c r="A23" s="291" t="str">
        <f>+DATOS!B17</f>
        <v>C Suelto</v>
      </c>
      <c r="B23" s="641">
        <f>+IF(A23="A Varillado",B21,B22)</f>
        <v>3.4123957045519271</v>
      </c>
      <c r="C23" s="642"/>
      <c r="D23" s="643"/>
    </row>
  </sheetData>
  <sheetProtection algorithmName="SHA-512" hashValue="2B7Q11Mr285BWctR+T7kziJT/4/UAI7dOq8OQGj2d73HbgW//P1a2p4ZtMIO02BTjv89SQCotUrxiS6HpCekXw==" saltValue="J8Gp8I6SaCU1sjXzVG6B3w==" spinCount="100000" sheet="1" objects="1" scenarios="1"/>
  <mergeCells count="28">
    <mergeCell ref="I17:K17"/>
    <mergeCell ref="B18:D18"/>
    <mergeCell ref="I18:K18"/>
    <mergeCell ref="B14:D14"/>
    <mergeCell ref="I14:K14"/>
    <mergeCell ref="B15:D15"/>
    <mergeCell ref="I15:K15"/>
    <mergeCell ref="B16:D16"/>
    <mergeCell ref="I16:K16"/>
    <mergeCell ref="I11:K11"/>
    <mergeCell ref="B12:D12"/>
    <mergeCell ref="I12:K12"/>
    <mergeCell ref="B13:D13"/>
    <mergeCell ref="I13:K13"/>
    <mergeCell ref="N7:N10"/>
    <mergeCell ref="B9:D9"/>
    <mergeCell ref="I9:K9"/>
    <mergeCell ref="B10:D10"/>
    <mergeCell ref="I10:K10"/>
    <mergeCell ref="I7:K7"/>
    <mergeCell ref="I8:K8"/>
    <mergeCell ref="B21:D21"/>
    <mergeCell ref="B22:D22"/>
    <mergeCell ref="B23:D23"/>
    <mergeCell ref="B7:D7"/>
    <mergeCell ref="B8:D8"/>
    <mergeCell ref="B11:D11"/>
    <mergeCell ref="B17:D1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ColWidth="11.42578125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652" t="s">
        <v>197</v>
      </c>
      <c r="B2" s="652"/>
      <c r="C2" s="5" t="s">
        <v>198</v>
      </c>
      <c r="D2" s="4" t="s">
        <v>199</v>
      </c>
      <c r="E2" s="4" t="s">
        <v>200</v>
      </c>
      <c r="F2" s="4" t="s">
        <v>201</v>
      </c>
      <c r="G2" s="4" t="s">
        <v>202</v>
      </c>
      <c r="H2" s="4" t="s">
        <v>203</v>
      </c>
      <c r="I2" s="4" t="s">
        <v>204</v>
      </c>
      <c r="J2" s="4" t="s">
        <v>205</v>
      </c>
      <c r="K2" s="4" t="s">
        <v>206</v>
      </c>
      <c r="L2" s="4" t="s">
        <v>207</v>
      </c>
      <c r="M2" s="4" t="s">
        <v>208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209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210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211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211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211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211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210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</vt:i4>
      </vt:variant>
    </vt:vector>
  </HeadingPairs>
  <TitlesOfParts>
    <vt:vector size="12" baseType="lpstr">
      <vt:lpstr>FORMATO</vt:lpstr>
      <vt:lpstr>INFORME</vt:lpstr>
      <vt:lpstr>DATOS</vt:lpstr>
      <vt:lpstr>Incertidumbre</vt:lpstr>
      <vt:lpstr>Molde</vt:lpstr>
      <vt:lpstr>Balanza</vt:lpstr>
      <vt:lpstr>Precision</vt:lpstr>
      <vt:lpstr>Hoja1</vt:lpstr>
      <vt:lpstr>FORMATO!Área_de_impresión</vt:lpstr>
      <vt:lpstr>INFORME!Área_de_impresión</vt:lpstr>
      <vt:lpstr>DATOS!Títulos_a_imprimir</vt:lpstr>
      <vt:lpstr>INFORME!Títulos_a_imprimir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Jazmin Grandez</cp:lastModifiedBy>
  <cp:revision/>
  <cp:lastPrinted>2026-06-13T17:41:00Z</cp:lastPrinted>
  <dcterms:created xsi:type="dcterms:W3CDTF">1999-11-07T15:11:55Z</dcterms:created>
  <dcterms:modified xsi:type="dcterms:W3CDTF">2026-06-24T15:03:10Z</dcterms:modified>
  <cp:contentStatus/>
</cp:coreProperties>
</file>