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6.1 JUNIO INICIA 15-06-25\"/>
    </mc:Choice>
  </mc:AlternateContent>
  <xr:revisionPtr revIDLastSave="0" documentId="13_ncr:1_{CDD3B46C-992B-4CB4-A5FC-8BB3BE224660}" xr6:coauthVersionLast="47" xr6:coauthVersionMax="47" xr10:uidLastSave="{00000000-0000-0000-0000-000000000000}"/>
  <bookViews>
    <workbookView xWindow="-108" yWindow="-108" windowWidth="23256" windowHeight="12456" tabRatio="737" firstSheet="1" activeTab="2" xr2:uid="{00000000-000D-0000-FFFF-FFFF00000000}"/>
  </bookViews>
  <sheets>
    <sheet name="INFORME NTP" sheetId="91" state="hidden" r:id="rId1"/>
    <sheet name="FORMATO" sheetId="100" r:id="rId2"/>
    <sheet name="INFORME LIMITE" sheetId="99" r:id="rId3"/>
    <sheet name="DATOS" sheetId="92" r:id="rId4"/>
    <sheet name="Incertidumbre" sheetId="93" r:id="rId5"/>
    <sheet name="Balanza" sheetId="94" r:id="rId6"/>
    <sheet name="Hoja1" sheetId="49" state="hidden" r:id="rId7"/>
    <sheet name="curva" sheetId="97" state="hidden" r:id="rId8"/>
    <sheet name="Precision" sheetId="9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DATOS!#REF!</definedName>
    <definedName name="_xlnm.Print_Area" localSheetId="2">'INFORME LIMITE'!$A$1:$N$87</definedName>
    <definedName name="_xlnm.Print_Area" localSheetId="0">'INFORME NTP'!$A$1:$K$75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_xlnm.Print_Titles" localSheetId="3">DATOS!$1:$10</definedName>
    <definedName name="_xlnm.Print_Titles" localSheetId="2">'INFORME LIMITE'!$1:$9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9" l="1"/>
  <c r="D9" i="92"/>
  <c r="D7" i="92"/>
  <c r="E16" i="99" l="1"/>
  <c r="E15" i="99"/>
  <c r="E14" i="99"/>
  <c r="N16" i="99"/>
  <c r="N15" i="99"/>
  <c r="N8" i="99"/>
  <c r="N6" i="99"/>
  <c r="C6" i="99"/>
  <c r="C7" i="99"/>
  <c r="C8" i="99"/>
  <c r="C5" i="99"/>
  <c r="O16" i="99"/>
  <c r="N14" i="99"/>
  <c r="I65" i="99"/>
  <c r="I63" i="99"/>
  <c r="I64" i="99"/>
  <c r="I61" i="99"/>
  <c r="I62" i="99"/>
  <c r="I60" i="99"/>
  <c r="K57" i="99"/>
  <c r="K56" i="99"/>
  <c r="K53" i="99"/>
  <c r="K54" i="99"/>
  <c r="K55" i="99"/>
  <c r="K52" i="99"/>
  <c r="I6" i="92"/>
  <c r="K18" i="92"/>
  <c r="K19" i="92"/>
  <c r="K20" i="92"/>
  <c r="K17" i="92"/>
  <c r="K15" i="92"/>
  <c r="I18" i="92"/>
  <c r="I19" i="92"/>
  <c r="I20" i="92"/>
  <c r="I17" i="92"/>
  <c r="I15" i="92"/>
  <c r="G16" i="92"/>
  <c r="G17" i="92"/>
  <c r="G18" i="92"/>
  <c r="G19" i="92"/>
  <c r="G20" i="92"/>
  <c r="G15" i="92"/>
  <c r="E19" i="92"/>
  <c r="E20" i="92"/>
  <c r="E16" i="92"/>
  <c r="E17" i="92"/>
  <c r="E18" i="92"/>
  <c r="E15" i="92"/>
  <c r="C16" i="92"/>
  <c r="C17" i="92"/>
  <c r="C18" i="92"/>
  <c r="C19" i="92"/>
  <c r="C20" i="92"/>
  <c r="C15" i="92"/>
  <c r="L44" i="100"/>
  <c r="K44" i="100"/>
  <c r="J44" i="100"/>
  <c r="I44" i="100"/>
  <c r="G44" i="100"/>
  <c r="L43" i="100"/>
  <c r="K43" i="100"/>
  <c r="J43" i="100"/>
  <c r="I43" i="100"/>
  <c r="G43" i="100"/>
  <c r="R40" i="100"/>
  <c r="Q40" i="100" s="1"/>
  <c r="P40" i="100"/>
  <c r="O40" i="100" s="1"/>
  <c r="P32" i="100"/>
  <c r="O32" i="100" s="1"/>
  <c r="P31" i="100"/>
  <c r="O31" i="100" s="1"/>
  <c r="P30" i="100"/>
  <c r="O30" i="100" s="1"/>
  <c r="G45" i="100" l="1"/>
  <c r="Q30" i="100" s="1"/>
  <c r="K45" i="100"/>
  <c r="J45" i="100"/>
  <c r="Q32" i="100" s="1"/>
  <c r="L45" i="100"/>
  <c r="I45" i="100"/>
  <c r="Q31" i="100" s="1"/>
  <c r="Q33" i="100" l="1"/>
  <c r="O45" i="100"/>
  <c r="P45" i="100" s="1"/>
  <c r="S45" i="100" s="1"/>
  <c r="O37" i="100"/>
  <c r="P37" i="100" s="1"/>
  <c r="L18" i="92" l="1"/>
  <c r="L19" i="92"/>
  <c r="L20" i="92"/>
  <c r="L17" i="92"/>
  <c r="J18" i="92"/>
  <c r="J19" i="92"/>
  <c r="J20" i="92"/>
  <c r="J17" i="92"/>
  <c r="H18" i="92"/>
  <c r="H19" i="92"/>
  <c r="H20" i="92"/>
  <c r="H17" i="92"/>
  <c r="F18" i="92"/>
  <c r="F19" i="92"/>
  <c r="F20" i="92"/>
  <c r="F17" i="92"/>
  <c r="D18" i="92"/>
  <c r="D19" i="92"/>
  <c r="D20" i="92"/>
  <c r="D17" i="92"/>
  <c r="E54" i="94" l="1"/>
  <c r="J53" i="93"/>
  <c r="L53" i="93" s="1"/>
  <c r="J50" i="93"/>
  <c r="L50" i="93" s="1"/>
  <c r="J46" i="93"/>
  <c r="L46" i="93" s="1"/>
  <c r="J42" i="93"/>
  <c r="L42" i="93" s="1"/>
  <c r="Q53" i="93"/>
  <c r="S53" i="93" s="1"/>
  <c r="C53" i="93"/>
  <c r="E53" i="93" s="1"/>
  <c r="L34" i="97"/>
  <c r="C29" i="97"/>
  <c r="L33" i="97"/>
  <c r="D21" i="94" l="1"/>
  <c r="E21" i="94"/>
  <c r="C21" i="94"/>
  <c r="B54" i="94" l="1"/>
  <c r="E55" i="94" s="1"/>
  <c r="H16" i="92" l="1"/>
  <c r="Q52" i="93" l="1"/>
  <c r="S52" i="93" s="1"/>
  <c r="S51" i="93" s="1"/>
  <c r="U51" i="93" s="1"/>
  <c r="C52" i="93"/>
  <c r="E52" i="93" s="1"/>
  <c r="E51" i="93" s="1"/>
  <c r="G51" i="93" s="1"/>
  <c r="J52" i="93"/>
  <c r="L52" i="93" s="1"/>
  <c r="L51" i="93" s="1"/>
  <c r="N51" i="93" s="1"/>
  <c r="C32" i="92"/>
  <c r="B32" i="92" s="1"/>
  <c r="F25" i="94"/>
  <c r="K22" i="92"/>
  <c r="K21" i="92"/>
  <c r="I22" i="92"/>
  <c r="I21" i="92"/>
  <c r="G22" i="92"/>
  <c r="G21" i="92"/>
  <c r="E22" i="92"/>
  <c r="E21" i="92"/>
  <c r="C22" i="92"/>
  <c r="C21" i="92"/>
  <c r="E23" i="92" l="1"/>
  <c r="I23" i="92"/>
  <c r="K23" i="92"/>
  <c r="C23" i="92"/>
  <c r="G23" i="92"/>
  <c r="Y20" i="99" l="1"/>
  <c r="V20" i="99"/>
  <c r="A81" i="93"/>
  <c r="A80" i="93"/>
  <c r="A79" i="93"/>
  <c r="A78" i="93"/>
  <c r="L32" i="99" l="1"/>
  <c r="B93" i="93" s="1"/>
  <c r="J21" i="99"/>
  <c r="K21" i="99"/>
  <c r="I21" i="99"/>
  <c r="G21" i="99"/>
  <c r="H21" i="99"/>
  <c r="A17" i="94"/>
  <c r="F22" i="94" l="1"/>
  <c r="B73" i="93" l="1"/>
  <c r="I73" i="93" s="1"/>
  <c r="B54" i="93" l="1"/>
  <c r="I54" i="93" s="1"/>
  <c r="J54" i="93" s="1"/>
  <c r="L54" i="93" s="1"/>
  <c r="N54" i="93" s="1"/>
  <c r="B28" i="94"/>
  <c r="B27" i="94"/>
  <c r="C54" i="93" l="1"/>
  <c r="E54" i="93" s="1"/>
  <c r="G54" i="93" s="1"/>
  <c r="P54" i="93"/>
  <c r="Q54" i="93" s="1"/>
  <c r="S54" i="93" s="1"/>
  <c r="U54" i="93" s="1"/>
  <c r="J73" i="93"/>
  <c r="L73" i="93" s="1"/>
  <c r="N73" i="93" s="1"/>
  <c r="C73" i="93"/>
  <c r="E73" i="93" s="1"/>
  <c r="G73" i="93" s="1"/>
  <c r="B81" i="93" s="1"/>
  <c r="V25" i="99"/>
  <c r="D26" i="92"/>
  <c r="C26" i="92" s="1"/>
  <c r="C6" i="97"/>
  <c r="V26" i="99"/>
  <c r="G25" i="99" s="1"/>
  <c r="C4" i="97"/>
  <c r="V27" i="99"/>
  <c r="G26" i="99" s="1"/>
  <c r="J72" i="93"/>
  <c r="L72" i="93" s="1"/>
  <c r="J68" i="93"/>
  <c r="L68" i="93" s="1"/>
  <c r="J64" i="93"/>
  <c r="L64" i="93" s="1"/>
  <c r="C72" i="93"/>
  <c r="E72" i="93" s="1"/>
  <c r="C68" i="93"/>
  <c r="E68" i="93" s="1"/>
  <c r="C64" i="93"/>
  <c r="E64" i="93" s="1"/>
  <c r="Q50" i="93"/>
  <c r="S50" i="93" s="1"/>
  <c r="Q46" i="93"/>
  <c r="S46" i="93" s="1"/>
  <c r="Q42" i="93"/>
  <c r="S42" i="93" s="1"/>
  <c r="C50" i="93"/>
  <c r="E50" i="93" s="1"/>
  <c r="C46" i="93"/>
  <c r="E46" i="93" s="1"/>
  <c r="C42" i="93"/>
  <c r="E42" i="93" s="1"/>
  <c r="B43" i="93"/>
  <c r="B47" i="93"/>
  <c r="C49" i="93" l="1"/>
  <c r="E49" i="93" s="1"/>
  <c r="F39" i="93"/>
  <c r="C45" i="93"/>
  <c r="E45" i="93" s="1"/>
  <c r="C22" i="94" l="1"/>
  <c r="D22" i="94"/>
  <c r="E22" i="94"/>
  <c r="C27" i="94" l="1"/>
  <c r="C44" i="93" s="1"/>
  <c r="E44" i="93" s="1"/>
  <c r="E43" i="93" s="1"/>
  <c r="C28" i="94"/>
  <c r="C48" i="93" s="1"/>
  <c r="E48" i="93" s="1"/>
  <c r="E47" i="93" s="1"/>
  <c r="J26" i="94" l="1"/>
  <c r="H26" i="94"/>
  <c r="F26" i="94"/>
  <c r="D26" i="94"/>
  <c r="B26" i="94"/>
  <c r="F16" i="92"/>
  <c r="D16" i="92"/>
  <c r="L15" i="92"/>
  <c r="Z22" i="99" s="1"/>
  <c r="K22" i="99" s="1"/>
  <c r="J15" i="92"/>
  <c r="Y22" i="99" s="1"/>
  <c r="J22" i="99" s="1"/>
  <c r="H15" i="92"/>
  <c r="X22" i="99" s="1"/>
  <c r="I22" i="99" s="1"/>
  <c r="F15" i="92"/>
  <c r="W22" i="99" s="1"/>
  <c r="H22" i="99" s="1"/>
  <c r="D15" i="92"/>
  <c r="V22" i="99" s="1"/>
  <c r="G22" i="99" s="1"/>
  <c r="E26" i="94" l="1"/>
  <c r="J40" i="93" s="1"/>
  <c r="L40" i="93" s="1"/>
  <c r="I39" i="93"/>
  <c r="B39" i="93"/>
  <c r="F47" i="93" s="1"/>
  <c r="G47" i="93" s="1"/>
  <c r="C26" i="94"/>
  <c r="C40" i="93" s="1"/>
  <c r="E40" i="93" s="1"/>
  <c r="P39" i="93"/>
  <c r="Q41" i="93" s="1"/>
  <c r="S41" i="93" s="1"/>
  <c r="G26" i="94"/>
  <c r="Q40" i="93" s="1"/>
  <c r="S40" i="93" s="1"/>
  <c r="B61" i="93"/>
  <c r="C63" i="93" s="1"/>
  <c r="E63" i="93" s="1"/>
  <c r="I26" i="94"/>
  <c r="C62" i="93" s="1"/>
  <c r="E62" i="93" s="1"/>
  <c r="I61" i="93"/>
  <c r="J63" i="93" s="1"/>
  <c r="L63" i="93" s="1"/>
  <c r="K26" i="94"/>
  <c r="J62" i="93" s="1"/>
  <c r="L62" i="93" s="1"/>
  <c r="X26" i="99"/>
  <c r="I25" i="99" s="1"/>
  <c r="F27" i="94"/>
  <c r="Z26" i="99"/>
  <c r="K25" i="99" s="1"/>
  <c r="J27" i="94"/>
  <c r="Z27" i="99"/>
  <c r="K26" i="99" s="1"/>
  <c r="J28" i="94"/>
  <c r="C30" i="92"/>
  <c r="B30" i="92" s="1"/>
  <c r="B25" i="94"/>
  <c r="X27" i="99"/>
  <c r="I26" i="99" s="1"/>
  <c r="F28" i="94"/>
  <c r="C31" i="92"/>
  <c r="B31" i="92" s="1"/>
  <c r="D25" i="94"/>
  <c r="Y26" i="99"/>
  <c r="J25" i="99" s="1"/>
  <c r="H27" i="94"/>
  <c r="Y27" i="99"/>
  <c r="J26" i="99" s="1"/>
  <c r="H28" i="94"/>
  <c r="W26" i="99"/>
  <c r="H25" i="99" s="1"/>
  <c r="D27" i="94"/>
  <c r="W27" i="99"/>
  <c r="H26" i="99" s="1"/>
  <c r="D28" i="94"/>
  <c r="L27" i="92"/>
  <c r="K27" i="92" s="1"/>
  <c r="J27" i="92"/>
  <c r="I27" i="92" s="1"/>
  <c r="W25" i="99"/>
  <c r="F26" i="92"/>
  <c r="E26" i="92" s="1"/>
  <c r="X25" i="99"/>
  <c r="H26" i="92"/>
  <c r="G26" i="92" s="1"/>
  <c r="Y25" i="99"/>
  <c r="J26" i="92"/>
  <c r="I26" i="92" s="1"/>
  <c r="Z25" i="99"/>
  <c r="L26" i="92"/>
  <c r="K26" i="92" s="1"/>
  <c r="Y24" i="99"/>
  <c r="J24" i="99" s="1"/>
  <c r="Z24" i="99"/>
  <c r="K24" i="99" s="1"/>
  <c r="V23" i="99"/>
  <c r="G23" i="99" s="1"/>
  <c r="W23" i="99"/>
  <c r="H23" i="99" s="1"/>
  <c r="X23" i="99"/>
  <c r="I23" i="99" s="1"/>
  <c r="C5" i="97"/>
  <c r="C8" i="97" s="1"/>
  <c r="B37" i="97" s="1"/>
  <c r="V24" i="99"/>
  <c r="G24" i="99" s="1"/>
  <c r="D5" i="97"/>
  <c r="W24" i="99"/>
  <c r="H24" i="99" s="1"/>
  <c r="E5" i="97"/>
  <c r="X24" i="99"/>
  <c r="I24" i="99" s="1"/>
  <c r="C2" i="97"/>
  <c r="D6" i="97"/>
  <c r="D2" i="97"/>
  <c r="E6" i="97"/>
  <c r="E2" i="97"/>
  <c r="D4" i="97"/>
  <c r="E4" i="97"/>
  <c r="D22" i="92"/>
  <c r="V29" i="99" s="1"/>
  <c r="G28" i="99" s="1"/>
  <c r="F21" i="92"/>
  <c r="W28" i="99" s="1"/>
  <c r="H27" i="99" s="1"/>
  <c r="H21" i="92"/>
  <c r="X28" i="99" s="1"/>
  <c r="I27" i="99" s="1"/>
  <c r="L22" i="92"/>
  <c r="Z29" i="99" s="1"/>
  <c r="K28" i="99" s="1"/>
  <c r="H22" i="92"/>
  <c r="X29" i="99" s="1"/>
  <c r="I28" i="99" s="1"/>
  <c r="D21" i="92"/>
  <c r="V28" i="99" s="1"/>
  <c r="G27" i="99" s="1"/>
  <c r="L21" i="92"/>
  <c r="F22" i="92"/>
  <c r="W29" i="99" s="1"/>
  <c r="H28" i="99" s="1"/>
  <c r="J22" i="92"/>
  <c r="Y29" i="99" s="1"/>
  <c r="J28" i="99" s="1"/>
  <c r="J21" i="92"/>
  <c r="Y28" i="99" s="1"/>
  <c r="J27" i="99" s="1"/>
  <c r="O46" i="91"/>
  <c r="R28" i="91"/>
  <c r="S28" i="91"/>
  <c r="R29" i="91"/>
  <c r="S29" i="91"/>
  <c r="R30" i="91"/>
  <c r="S30" i="91"/>
  <c r="R31" i="91"/>
  <c r="S31" i="91"/>
  <c r="P28" i="91"/>
  <c r="Q28" i="91"/>
  <c r="P29" i="91"/>
  <c r="Q29" i="91"/>
  <c r="P30" i="91"/>
  <c r="Q30" i="91"/>
  <c r="P31" i="91"/>
  <c r="Q31" i="91"/>
  <c r="O29" i="91"/>
  <c r="O30" i="91"/>
  <c r="O31" i="91"/>
  <c r="O28" i="91"/>
  <c r="P27" i="91"/>
  <c r="P46" i="91" s="1"/>
  <c r="Q27" i="91"/>
  <c r="Q46" i="91" s="1"/>
  <c r="O27" i="91"/>
  <c r="E28" i="94" l="1"/>
  <c r="J48" i="93" s="1"/>
  <c r="L48" i="93" s="1"/>
  <c r="I47" i="93"/>
  <c r="J49" i="93" s="1"/>
  <c r="L49" i="93" s="1"/>
  <c r="E27" i="94"/>
  <c r="J44" i="93" s="1"/>
  <c r="L44" i="93" s="1"/>
  <c r="I43" i="93"/>
  <c r="J41" i="93"/>
  <c r="L41" i="93" s="1"/>
  <c r="L39" i="93" s="1"/>
  <c r="C41" i="93"/>
  <c r="E41" i="93" s="1"/>
  <c r="E39" i="93" s="1"/>
  <c r="G39" i="93" s="1"/>
  <c r="F43" i="93"/>
  <c r="G43" i="93" s="1"/>
  <c r="B38" i="93"/>
  <c r="E61" i="93"/>
  <c r="L61" i="93"/>
  <c r="B69" i="93"/>
  <c r="C71" i="93" s="1"/>
  <c r="E71" i="93" s="1"/>
  <c r="I28" i="94"/>
  <c r="C70" i="93" s="1"/>
  <c r="E70" i="93" s="1"/>
  <c r="P47" i="93"/>
  <c r="Q49" i="93" s="1"/>
  <c r="S49" i="93" s="1"/>
  <c r="G28" i="94"/>
  <c r="Q48" i="93" s="1"/>
  <c r="S48" i="93" s="1"/>
  <c r="B65" i="93"/>
  <c r="I27" i="94"/>
  <c r="C66" i="93" s="1"/>
  <c r="E66" i="93" s="1"/>
  <c r="I69" i="93"/>
  <c r="J71" i="93" s="1"/>
  <c r="L71" i="93" s="1"/>
  <c r="K28" i="94"/>
  <c r="J70" i="93" s="1"/>
  <c r="L70" i="93" s="1"/>
  <c r="P43" i="93"/>
  <c r="G27" i="94"/>
  <c r="Q44" i="93" s="1"/>
  <c r="S44" i="93" s="1"/>
  <c r="I65" i="93"/>
  <c r="J67" i="93" s="1"/>
  <c r="L67" i="93" s="1"/>
  <c r="K27" i="94"/>
  <c r="J66" i="93" s="1"/>
  <c r="L66" i="93" s="1"/>
  <c r="S39" i="93"/>
  <c r="Z28" i="99"/>
  <c r="K27" i="99" s="1"/>
  <c r="L23" i="92"/>
  <c r="Z30" i="99" s="1"/>
  <c r="K29" i="99" s="1"/>
  <c r="Y34" i="99"/>
  <c r="X34" i="99" s="1"/>
  <c r="E8" i="97"/>
  <c r="B39" i="97" s="1"/>
  <c r="D8" i="97"/>
  <c r="B38" i="97" s="1"/>
  <c r="A38" i="97"/>
  <c r="D38" i="97" s="1"/>
  <c r="C38" i="97" s="1"/>
  <c r="D3" i="97"/>
  <c r="B55" i="97" s="1"/>
  <c r="A39" i="97"/>
  <c r="D39" i="97" s="1"/>
  <c r="C39" i="97" s="1"/>
  <c r="E3" i="97"/>
  <c r="B56" i="97" s="1"/>
  <c r="C33" i="97"/>
  <c r="A37" i="97"/>
  <c r="D37" i="97" s="1"/>
  <c r="B63" i="97"/>
  <c r="C3" i="97"/>
  <c r="B54" i="97" s="1"/>
  <c r="Q32" i="91"/>
  <c r="D23" i="92"/>
  <c r="H23" i="92"/>
  <c r="F23" i="92"/>
  <c r="D31" i="92" s="1"/>
  <c r="J23" i="92"/>
  <c r="I32" i="92" s="1"/>
  <c r="S32" i="91"/>
  <c r="Q33" i="91"/>
  <c r="O32" i="91"/>
  <c r="O33" i="91"/>
  <c r="S33" i="91"/>
  <c r="P33" i="91"/>
  <c r="P32" i="91"/>
  <c r="R33" i="91"/>
  <c r="R32" i="91"/>
  <c r="M47" i="93" l="1"/>
  <c r="M43" i="93"/>
  <c r="I38" i="93"/>
  <c r="F69" i="93"/>
  <c r="L47" i="93"/>
  <c r="M39" i="93"/>
  <c r="N39" i="93" s="1"/>
  <c r="J45" i="93"/>
  <c r="L45" i="93" s="1"/>
  <c r="L43" i="93" s="1"/>
  <c r="G55" i="93"/>
  <c r="T39" i="93"/>
  <c r="U39" i="93" s="1"/>
  <c r="F65" i="93"/>
  <c r="C37" i="97"/>
  <c r="C27" i="97" s="1"/>
  <c r="T47" i="93"/>
  <c r="Q45" i="93"/>
  <c r="S45" i="93" s="1"/>
  <c r="S43" i="93" s="1"/>
  <c r="P38" i="93"/>
  <c r="L65" i="93"/>
  <c r="M61" i="93"/>
  <c r="N61" i="93" s="1"/>
  <c r="M65" i="93"/>
  <c r="C67" i="93"/>
  <c r="E67" i="93" s="1"/>
  <c r="E65" i="93" s="1"/>
  <c r="M69" i="93"/>
  <c r="F61" i="93"/>
  <c r="G61" i="93" s="1"/>
  <c r="B78" i="93" s="1"/>
  <c r="S47" i="93"/>
  <c r="I60" i="93"/>
  <c r="B60" i="93"/>
  <c r="L69" i="93"/>
  <c r="T43" i="93"/>
  <c r="E69" i="93"/>
  <c r="J32" i="92"/>
  <c r="M32" i="92" s="1"/>
  <c r="U36" i="99"/>
  <c r="Y36" i="99"/>
  <c r="X36" i="99" s="1"/>
  <c r="U34" i="99"/>
  <c r="Y35" i="99"/>
  <c r="X35" i="99" s="1"/>
  <c r="U35" i="99"/>
  <c r="D32" i="92"/>
  <c r="D30" i="92"/>
  <c r="I24" i="92"/>
  <c r="X30" i="99"/>
  <c r="I29" i="99" s="1"/>
  <c r="V30" i="99"/>
  <c r="G29" i="99" s="1"/>
  <c r="B40" i="97"/>
  <c r="Y30" i="99"/>
  <c r="W30" i="99"/>
  <c r="H29" i="99" s="1"/>
  <c r="P26" i="91"/>
  <c r="E26" i="91" s="1"/>
  <c r="Q26" i="91"/>
  <c r="F26" i="91" s="1"/>
  <c r="R26" i="91"/>
  <c r="G26" i="91" s="1"/>
  <c r="S26" i="91"/>
  <c r="H26" i="91" s="1"/>
  <c r="O26" i="91"/>
  <c r="D26" i="91" s="1"/>
  <c r="O45" i="91"/>
  <c r="H29" i="91"/>
  <c r="H30" i="91"/>
  <c r="G29" i="91"/>
  <c r="G30" i="91"/>
  <c r="H28" i="91"/>
  <c r="G28" i="91"/>
  <c r="F27" i="91"/>
  <c r="N38" i="91" s="1"/>
  <c r="Q47" i="91" s="1"/>
  <c r="F28" i="91"/>
  <c r="F29" i="91"/>
  <c r="F30" i="91"/>
  <c r="E27" i="91"/>
  <c r="N37" i="91" s="1"/>
  <c r="P47" i="91" s="1"/>
  <c r="E28" i="91"/>
  <c r="E29" i="91"/>
  <c r="E30" i="91"/>
  <c r="D27" i="91"/>
  <c r="N36" i="91" s="1"/>
  <c r="O47" i="91" s="1"/>
  <c r="D28" i="91"/>
  <c r="D29" i="91"/>
  <c r="D30" i="91"/>
  <c r="H25" i="91"/>
  <c r="G25" i="91"/>
  <c r="F25" i="91"/>
  <c r="E25" i="91"/>
  <c r="D25" i="91"/>
  <c r="H32" i="91"/>
  <c r="G32" i="91"/>
  <c r="F32" i="91"/>
  <c r="E32" i="91"/>
  <c r="D32" i="91"/>
  <c r="H31" i="91"/>
  <c r="G31" i="91"/>
  <c r="F31" i="91"/>
  <c r="E31" i="91"/>
  <c r="D31" i="91"/>
  <c r="Y31" i="99" l="1"/>
  <c r="L34" i="99" s="1"/>
  <c r="L36" i="99" s="1"/>
  <c r="J29" i="99"/>
  <c r="N43" i="93"/>
  <c r="C36" i="92"/>
  <c r="C35" i="92"/>
  <c r="C40" i="92"/>
  <c r="D40" i="92" s="1"/>
  <c r="N47" i="93"/>
  <c r="G69" i="93"/>
  <c r="B80" i="93" s="1"/>
  <c r="G65" i="93"/>
  <c r="B79" i="93" s="1"/>
  <c r="B82" i="93" s="1"/>
  <c r="C79" i="93" s="1"/>
  <c r="N65" i="93"/>
  <c r="U47" i="93"/>
  <c r="U43" i="93"/>
  <c r="N69" i="93"/>
  <c r="D33" i="92"/>
  <c r="C56" i="97"/>
  <c r="C54" i="97"/>
  <c r="C55" i="97"/>
  <c r="E48" i="97"/>
  <c r="Q34" i="91"/>
  <c r="R34" i="91"/>
  <c r="S34" i="91"/>
  <c r="H33" i="91" s="1"/>
  <c r="O34" i="91"/>
  <c r="P34" i="91"/>
  <c r="N55" i="93" l="1"/>
  <c r="G56" i="93" s="1"/>
  <c r="N74" i="93"/>
  <c r="D38" i="92"/>
  <c r="U55" i="93"/>
  <c r="G74" i="93"/>
  <c r="V35" i="99"/>
  <c r="Z35" i="99"/>
  <c r="Z36" i="99"/>
  <c r="V36" i="99"/>
  <c r="V34" i="99"/>
  <c r="Z34" i="99"/>
  <c r="C78" i="93"/>
  <c r="C80" i="93"/>
  <c r="C81" i="93"/>
  <c r="B94" i="93"/>
  <c r="B92" i="93" s="1"/>
  <c r="E9" i="97"/>
  <c r="C65" i="97"/>
  <c r="C63" i="97"/>
  <c r="C9" i="97"/>
  <c r="C64" i="97"/>
  <c r="D9" i="97"/>
  <c r="D33" i="91"/>
  <c r="O36" i="91" s="1"/>
  <c r="O50" i="91"/>
  <c r="O48" i="91"/>
  <c r="E33" i="91"/>
  <c r="O37" i="91" s="1"/>
  <c r="P48" i="91"/>
  <c r="F33" i="91"/>
  <c r="Q40" i="91" s="1"/>
  <c r="Q48" i="91"/>
  <c r="O42" i="91"/>
  <c r="I38" i="91" s="1"/>
  <c r="G33" i="91"/>
  <c r="E93" i="93" l="1"/>
  <c r="G93" i="93" s="1"/>
  <c r="G75" i="93"/>
  <c r="E94" i="93"/>
  <c r="G94" i="93" s="1"/>
  <c r="Z40" i="99"/>
  <c r="Z39" i="99"/>
  <c r="Z37" i="99"/>
  <c r="C82" i="93"/>
  <c r="C48" i="97"/>
  <c r="C57" i="97"/>
  <c r="C67" i="97"/>
  <c r="P40" i="91"/>
  <c r="P41" i="91" s="1"/>
  <c r="O40" i="91" s="1"/>
  <c r="O41" i="91" s="1"/>
  <c r="O38" i="91"/>
  <c r="O49" i="91"/>
  <c r="I36" i="91" s="1"/>
  <c r="A8" i="91"/>
  <c r="G95" i="93" l="1"/>
  <c r="G96" i="93" s="1"/>
  <c r="Z42" i="99"/>
  <c r="V38" i="99" s="1"/>
  <c r="C69" i="97"/>
  <c r="I40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V39" i="99" l="1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6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INGRESAR MANUALMENTE EL TAMAÑO DE LA PARTICULA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<sst xmlns="http://schemas.openxmlformats.org/spreadsheetml/2006/main" count="829" uniqueCount="344">
  <si>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</si>
  <si>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</si>
  <si>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</si>
  <si>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</si>
  <si>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</si>
  <si>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</si>
  <si>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</si>
  <si>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</si>
  <si>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</si>
  <si>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</si>
  <si>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</si>
  <si>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</si>
  <si>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</si>
  <si>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</si>
  <si>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</si>
  <si>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</si>
  <si>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CONJUNTO RESIDENCIAL SAN BORJA HOMETOWN</t>
  </si>
  <si>
    <t>N° OT</t>
  </si>
  <si>
    <t>LABORATORIO DE ENSAYO DE MATERIALES</t>
  </si>
  <si>
    <t>DATOS DE LA MUESTRA</t>
  </si>
  <si>
    <t>M-1</t>
  </si>
  <si>
    <t xml:space="preserve">                 CÓDIGO</t>
  </si>
  <si>
    <t>METRO</t>
  </si>
  <si>
    <t xml:space="preserve">CA. DURERO CDRA. 4 S/N, ALT. LA CDRA 13 DE LA AV. SAN </t>
  </si>
  <si>
    <t>METODO DE ENSAYO PARA DETERMINAR EL LIMITE LIQUIDO, LIMITE PLASTICO E INDICE DE PLASTICIDAD DE SUELOS</t>
  </si>
  <si>
    <t>Ensayo</t>
  </si>
  <si>
    <t>Nº de Golpes</t>
  </si>
  <si>
    <t>Recipiente Nº</t>
  </si>
  <si>
    <t>R + Suelo Hum.</t>
  </si>
  <si>
    <t>R + Suelo Seco</t>
  </si>
  <si>
    <t>Peso Recip.</t>
  </si>
  <si>
    <t>Peso Agua</t>
  </si>
  <si>
    <t>Peso S. Seco</t>
  </si>
  <si>
    <t>% de Humedad</t>
  </si>
  <si>
    <t>LIMITE PLASTICO</t>
  </si>
  <si>
    <t>LIMITE LIQUIDO</t>
  </si>
  <si>
    <t>LP</t>
  </si>
  <si>
    <t>Golp.</t>
  </si>
  <si>
    <t>% Humed</t>
  </si>
  <si>
    <t>SI</t>
  </si>
  <si>
    <t>F-LEM-P-SU-11.02</t>
  </si>
  <si>
    <t>NORMA  NTP 339.129</t>
  </si>
  <si>
    <t>C-1</t>
  </si>
  <si>
    <t>SUELO</t>
  </si>
  <si>
    <t>Versión : 02 (02-01-2021)</t>
  </si>
  <si>
    <t>INGRESAMOS LOS DATOS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</si>
  <si>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</si>
  <si>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</si>
  <si>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</si>
  <si>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</si>
  <si>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</si>
  <si>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R + Suelo Seco 1</t>
  </si>
  <si>
    <t>CORRECCION</t>
  </si>
  <si>
    <t>LOG GOLPES</t>
  </si>
  <si>
    <t>Humedad</t>
  </si>
  <si>
    <t>Limite Liquido:</t>
  </si>
  <si>
    <t>MIN: 0.90 Y MAX 1.00</t>
  </si>
  <si>
    <t>CLIENTE</t>
  </si>
  <si>
    <t>DIRECCION **</t>
  </si>
  <si>
    <t>LIMA - AV. JAGSKSHD / PONER LA DIRECCION O DIRECCION FISCAL</t>
  </si>
  <si>
    <t>N° INFORME.</t>
  </si>
  <si>
    <t>FECHA DE RECEPCIÓN</t>
  </si>
  <si>
    <t>FECHA DE EJECUCIÓN</t>
  </si>
  <si>
    <t>FECHA DE EMISIÓN</t>
  </si>
  <si>
    <t>CODIGO DE LA MUESTRA</t>
  </si>
  <si>
    <t>** Datos proporcionados por el cliente</t>
  </si>
  <si>
    <t>PROYECTO **</t>
  </si>
  <si>
    <t>UBICACIÓN **</t>
  </si>
  <si>
    <t>LUGAR DE ENSAYO</t>
  </si>
  <si>
    <t xml:space="preserve"> Laboratorio de Ensayo de Materiales</t>
  </si>
  <si>
    <t>Masa del Recipiente + Suelo Humedo</t>
  </si>
  <si>
    <t>Masa del Recipiente + Suelo Seco</t>
  </si>
  <si>
    <t>Masa del Recipiente</t>
  </si>
  <si>
    <t>Masa del Agua</t>
  </si>
  <si>
    <t>Masa del  Suelo Seco</t>
  </si>
  <si>
    <t>Limite Liquido</t>
  </si>
  <si>
    <t>Limite Plástico</t>
  </si>
  <si>
    <t>Índice de Plasticidad</t>
  </si>
  <si>
    <t>Estos datos del presente informe de ensayo sólo aplica  a las muestra proporcionada por el cliente. La muestra fue identificada por el cliente.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</si>
  <si>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</si>
  <si>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Prohibida la reproducción total o parcial del presente informe de ensayo sin la autorización escrita de GEOFAL SAC</t>
  </si>
  <si>
    <t>Fin del Documento</t>
  </si>
  <si>
    <t>a) Método de ensayo en el Límite Líquido</t>
  </si>
  <si>
    <t>b) Tipo de preparacion de muestra de ensayo</t>
  </si>
  <si>
    <t xml:space="preserve">c) % Retenido en el tamiz No. 40  </t>
  </si>
  <si>
    <t>d) Proceso de selección en caso de muestras Inalteradas, no se retiró lentes de arena</t>
  </si>
  <si>
    <t>e) La muestras antes o durante la preparación, No fue sometida a secado al aire</t>
  </si>
  <si>
    <t>Caracteristicas de la muestra:</t>
  </si>
  <si>
    <t>TIPO DE MUESTRA :</t>
  </si>
  <si>
    <t>CONDICIÓN DE LA MUESTRA:</t>
  </si>
  <si>
    <t>ALTERADA</t>
  </si>
  <si>
    <t>TAMAÑO DE PARTICULA (in):</t>
  </si>
  <si>
    <t>FORMA DE PARTICULA:</t>
  </si>
  <si>
    <t>ANGULAR</t>
  </si>
  <si>
    <t>CANTERA / SONDAJE **</t>
  </si>
  <si>
    <t>N° MUESTRA **</t>
  </si>
  <si>
    <t>TIPO DE MUESTRA**</t>
  </si>
  <si>
    <t>Página 1 de 2</t>
  </si>
  <si>
    <t>Condiciones del ensayo (indicado en la Norma de ensayo)</t>
  </si>
  <si>
    <t>Observaciones:</t>
  </si>
  <si>
    <t>Página 2 de 2</t>
  </si>
  <si>
    <t>Multipunto</t>
  </si>
  <si>
    <t>Preparacion Híumeda</t>
  </si>
  <si>
    <t>No se retiro</t>
  </si>
  <si>
    <t>No fue secada antes</t>
  </si>
  <si>
    <t>F-LEM-P-SU-23.02</t>
  </si>
  <si>
    <t>CANTERA/SONDAJE **</t>
  </si>
  <si>
    <t>Standard Test Methods for Liquid Limit, Plastic Limit and Plasticity Index of Soils</t>
  </si>
  <si>
    <t>DIRECCIÓN **</t>
  </si>
  <si>
    <t>g</t>
  </si>
  <si>
    <t>%</t>
  </si>
  <si>
    <t>Contenido de Humedad</t>
  </si>
  <si>
    <t>---</t>
  </si>
  <si>
    <t>und</t>
  </si>
  <si>
    <t>EQP-0045</t>
  </si>
  <si>
    <t>FECHA EMISIÓN</t>
  </si>
  <si>
    <t>Certificado de Calibración</t>
  </si>
  <si>
    <t>Resolución</t>
  </si>
  <si>
    <t>Repetibilidad de la pesada</t>
  </si>
  <si>
    <t>Coeficiente de Sensibilidad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</si>
  <si>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</si>
  <si>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</si>
  <si>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</si>
  <si>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</si>
  <si>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</si>
  <si>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</si>
  <si>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</si>
  <si>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</si>
  <si>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</si>
  <si>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</si>
  <si>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</si>
  <si>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</si>
  <si>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Busqueda de Repetibilidad de la masa</t>
  </si>
  <si>
    <t>DESV STD</t>
  </si>
  <si>
    <t>Variables</t>
  </si>
  <si>
    <t>CALIBRACION DE LA BALANZA</t>
  </si>
  <si>
    <t>W2</t>
  </si>
  <si>
    <t>W1</t>
  </si>
  <si>
    <t>HUMEDADES</t>
  </si>
  <si>
    <t>M. Humeda</t>
  </si>
  <si>
    <t>M. Seca</t>
  </si>
  <si>
    <t>M. tara</t>
  </si>
  <si>
    <t>Incertidumbre estandar combinada</t>
  </si>
  <si>
    <t>F presicion</t>
  </si>
  <si>
    <t>Limite Plastico</t>
  </si>
  <si>
    <t>0.01</t>
  </si>
  <si>
    <t>NO</t>
  </si>
  <si>
    <t>DESCRIPCIÓN</t>
  </si>
  <si>
    <t>Nº Ensayo</t>
  </si>
  <si>
    <t>Nº</t>
  </si>
  <si>
    <t xml:space="preserve">Nº Recipiente </t>
  </si>
  <si>
    <t>Suelo</t>
  </si>
  <si>
    <t>Intercepto</t>
  </si>
  <si>
    <t>Pendiente</t>
  </si>
  <si>
    <t>Wpromedio</t>
  </si>
  <si>
    <t>N</t>
  </si>
  <si>
    <t>residuo</t>
  </si>
  <si>
    <t>Valor de N (x)</t>
  </si>
  <si>
    <t>PROMEDIO DE N</t>
  </si>
  <si>
    <t>W% corregidas a la recta</t>
  </si>
  <si>
    <t>Contenido de humedad</t>
  </si>
  <si>
    <t>Peso de agua</t>
  </si>
  <si>
    <t>Peso tara + muestra seca</t>
  </si>
  <si>
    <t>Peso tara + muestra húmeda</t>
  </si>
  <si>
    <t>Peso tara</t>
  </si>
  <si>
    <t>Nº de golpes</t>
  </si>
  <si>
    <t>Fecha de evaluacion:</t>
  </si>
  <si>
    <t>Incertidumbre Original</t>
  </si>
  <si>
    <t>Distribución</t>
  </si>
  <si>
    <t>Normal, K=1</t>
  </si>
  <si>
    <t>certificado de calibracion cronometro</t>
  </si>
  <si>
    <t>u(C(w))</t>
  </si>
  <si>
    <t>para cálculo de (Wo- Wpromedio)²</t>
  </si>
  <si>
    <t>Estimacion  de la incertidumbre de Grafica</t>
  </si>
  <si>
    <t>Wn ajustado a la curva</t>
  </si>
  <si>
    <t>RESUMEN</t>
  </si>
  <si>
    <t>L. L. según ecuacion</t>
  </si>
  <si>
    <t>L. L.  según modelo matematico</t>
  </si>
  <si>
    <t>ENSAYO</t>
  </si>
  <si>
    <t>para cálculo de Curva</t>
  </si>
  <si>
    <t xml:space="preserve">Del grafico se obtiene </t>
  </si>
  <si>
    <t>igualando pendientes</t>
  </si>
  <si>
    <t>m=m</t>
  </si>
  <si>
    <t xml:space="preserve"> Velocidad de Golpe</t>
  </si>
  <si>
    <t>prueba</t>
  </si>
  <si>
    <t>Nº Golpes</t>
  </si>
  <si>
    <t>tiempo (s)</t>
  </si>
  <si>
    <t>desviacion estandar</t>
  </si>
  <si>
    <t>Sumatoria residuo</t>
  </si>
  <si>
    <t>Incertidumbre</t>
  </si>
  <si>
    <t>Calibracion cronometro</t>
  </si>
  <si>
    <t>Fecha de Calibración:</t>
  </si>
  <si>
    <t>N: Escala logaritmica (para el calculo)</t>
  </si>
  <si>
    <t>Logaritmo de  N° de golpes</t>
  </si>
  <si>
    <t>Factor de Influencia</t>
  </si>
  <si>
    <t xml:space="preserve">% </t>
  </si>
  <si>
    <t>CORRECCIÓN</t>
  </si>
  <si>
    <t>DATOS</t>
  </si>
  <si>
    <t>Descripcion</t>
  </si>
  <si>
    <t>-</t>
  </si>
  <si>
    <t>Corrección</t>
  </si>
  <si>
    <t>Información para la Corrección por Certificado de Calibración: Balanza 2.2kg</t>
  </si>
  <si>
    <t>Precisión de la Balanza al 0.01g</t>
  </si>
  <si>
    <t>Promedio</t>
  </si>
  <si>
    <t>Límite Liquido</t>
  </si>
  <si>
    <t>Límite Plástico</t>
  </si>
  <si>
    <t>LÍMITE PLÁSTICO</t>
  </si>
  <si>
    <t>LÍMITE LÍQUIDO</t>
  </si>
  <si>
    <t xml:space="preserve">Perdida de masa seca constante (adicional), para metodo B es &lt; 0.1% </t>
  </si>
  <si>
    <t>Masa del recipiente y suelo Humedo</t>
  </si>
  <si>
    <t>Masa del recipiente y suelo Seco</t>
  </si>
  <si>
    <t>Masa del Suelo Seco</t>
  </si>
  <si>
    <t>Masa de suelo humedo, minimo 6g</t>
  </si>
  <si>
    <t>Parametro calculado</t>
  </si>
  <si>
    <t>Limites diferencia Norma</t>
  </si>
  <si>
    <t>Control</t>
  </si>
  <si>
    <t>1S</t>
  </si>
  <si>
    <t>d2s</t>
  </si>
  <si>
    <t>PARAMETRO DE CONTROL LIMITE PLASTICO</t>
  </si>
  <si>
    <t>Condiciones del ensayo</t>
  </si>
  <si>
    <t>Masa del recipiente y suelo Seco 1</t>
  </si>
  <si>
    <t>Fin del Informe</t>
  </si>
  <si>
    <t>Descripción de la muestra</t>
  </si>
  <si>
    <t>Nota:</t>
  </si>
  <si>
    <t>- Método de ensayo en el Límite Líquido</t>
  </si>
  <si>
    <t>- Herramienta de ranurado para el límite líquido</t>
  </si>
  <si>
    <t>- Dispositivo para el limite liquido</t>
  </si>
  <si>
    <t>- Método de laminación para el Límite Plástico</t>
  </si>
  <si>
    <t>- Proceso de selección en caso de muestras Intacta, se retiró lentes de arena</t>
  </si>
  <si>
    <t>- Método de preparación de la muestra de ensayo</t>
  </si>
  <si>
    <t>- Tipo de muestra:</t>
  </si>
  <si>
    <t>- Condición de la muestra:</t>
  </si>
  <si>
    <t>- Tamaño máximo de particula, (in):</t>
  </si>
  <si>
    <t>- Porcentaje de la muestra retenido en el tamiz No. 40 (%)</t>
  </si>
  <si>
    <t>- Forma de la particula: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</si>
  <si>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</si>
  <si>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</si>
  <si>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ASTM D4318-17</t>
    </r>
    <r>
      <rPr>
        <b/>
        <vertAlign val="superscript"/>
        <sz val="10"/>
        <rFont val="Arial"/>
        <family val="2"/>
      </rPr>
      <t>ε1</t>
    </r>
  </si>
  <si>
    <t>Laboratorio de Ensayo de Materiales</t>
  </si>
  <si>
    <t>Normal, K=2 (/2)</t>
  </si>
  <si>
    <t>Rectangular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</si>
  <si>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</si>
  <si>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</si>
  <si>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Incertidumbre Expandida LP</t>
  </si>
  <si>
    <t>HUMEDAD</t>
  </si>
  <si>
    <t>Verificar aquí el grafico Min.095 y Max.1.00</t>
  </si>
  <si>
    <t>MES</t>
  </si>
  <si>
    <t>incertidumbre</t>
  </si>
  <si>
    <t>Variables:</t>
  </si>
  <si>
    <t>Masa humeda (Mcms)</t>
  </si>
  <si>
    <t>Masa seca ( Mcdc)</t>
  </si>
  <si>
    <t>Masa tara (Mc)</t>
  </si>
  <si>
    <t>Fórmula:</t>
  </si>
  <si>
    <t>Equipos a utilizar:</t>
  </si>
  <si>
    <t>Paso 2. Definición de las variables aleatorias</t>
  </si>
  <si>
    <t>Balanza con resulución de lectura de  0.01g</t>
  </si>
  <si>
    <t>Aporte golpe</t>
  </si>
  <si>
    <r>
      <t>(Wo- W</t>
    </r>
    <r>
      <rPr>
        <sz val="8"/>
        <color theme="7" tint="0.39997558519241921"/>
        <rFont val="Arial"/>
        <family val="2"/>
      </rPr>
      <t>promedio)²</t>
    </r>
  </si>
  <si>
    <r>
      <t>(Wn - W</t>
    </r>
    <r>
      <rPr>
        <sz val="8"/>
        <color theme="7" tint="0.39997558519241921"/>
        <rFont val="Arial"/>
        <family val="2"/>
      </rPr>
      <t>promedio</t>
    </r>
    <r>
      <rPr>
        <sz val="10"/>
        <color theme="7" tint="0.39997558519241921"/>
        <rFont val="Arial"/>
        <family val="2"/>
      </rPr>
      <t>)²</t>
    </r>
  </si>
  <si>
    <t>LN(N)</t>
  </si>
  <si>
    <t>W3</t>
  </si>
  <si>
    <t>IP</t>
  </si>
  <si>
    <t>Limite liquido</t>
  </si>
  <si>
    <t>Limite plastico</t>
  </si>
  <si>
    <t>Según grafica</t>
  </si>
  <si>
    <r>
      <t>ASTM D4318-17</t>
    </r>
    <r>
      <rPr>
        <vertAlign val="superscript"/>
        <sz val="11"/>
        <color theme="1"/>
        <rFont val="Arial"/>
        <family val="2"/>
      </rPr>
      <t>ε1</t>
    </r>
  </si>
  <si>
    <t>Contenido de agua de un suelo en el limite arbitrario entre los estados semiliquido y plastico (Limite liquido), plástico a semisólido (Limite plastico)</t>
  </si>
  <si>
    <t>- Contenido de humedad natural ASTM D2216-19</t>
  </si>
  <si>
    <t>OPERADORES</t>
  </si>
  <si>
    <t>TIPO DE MUESTRA</t>
  </si>
  <si>
    <t>RECEPCIÓN N°</t>
  </si>
  <si>
    <t>EQP-0077</t>
  </si>
  <si>
    <t>ÍTEM</t>
  </si>
  <si>
    <t>FORMATO N° F-LEM-P-SU-23.01</t>
  </si>
  <si>
    <t>MUESTRA</t>
  </si>
  <si>
    <t>No OT</t>
  </si>
  <si>
    <t>FECHA ENSAYO</t>
  </si>
  <si>
    <t>REALIZADO</t>
  </si>
  <si>
    <t>Standard Test Methods for Liquid Limit, Plastic Limit, and Plasticity Index of Soils</t>
  </si>
  <si>
    <t>Método de ensayo en el Límite Líquido</t>
  </si>
  <si>
    <t>Herramienta de ranurado para el límite líquido</t>
  </si>
  <si>
    <t>Dispositivo para el limite liquido</t>
  </si>
  <si>
    <t>Método de laminación para el Límite Plástico</t>
  </si>
  <si>
    <t xml:space="preserve">Contenido de humedad de muestra inicial (%) </t>
  </si>
  <si>
    <t>Proceso de selección en caso de muestras Intacta, se retiró lentes de arena</t>
  </si>
  <si>
    <t>Método de preparación de la muestra de ensayo</t>
  </si>
  <si>
    <t>Método de eliminación de partículas más grandes que el tamiz No. 40</t>
  </si>
  <si>
    <t>X</t>
  </si>
  <si>
    <t>Lavado por el tamiz No. 40</t>
  </si>
  <si>
    <t>Mecánicamente empujado a través del tamiz No. 40</t>
  </si>
  <si>
    <t>Tamizado en seco por el tamiz No. 40</t>
  </si>
  <si>
    <t>Mezclado en placa de vidrio y eliminación de partículas de arena medianas</t>
  </si>
  <si>
    <t>Descripción de la muestra:</t>
  </si>
  <si>
    <t>Tipo de muestra</t>
  </si>
  <si>
    <t>Condición de la muestra</t>
  </si>
  <si>
    <t>Tamaño máximo de particula, Visual (in)</t>
  </si>
  <si>
    <t>Porcentaje estimado de muestra retenido en el tamiz No. 40 (%)</t>
  </si>
  <si>
    <t>Forma de la particula</t>
  </si>
  <si>
    <t>Descripción</t>
  </si>
  <si>
    <t>A</t>
  </si>
  <si>
    <t>B</t>
  </si>
  <si>
    <t>C</t>
  </si>
  <si>
    <t>D</t>
  </si>
  <si>
    <t>G</t>
  </si>
  <si>
    <t>Masa del Agua(C-E)</t>
  </si>
  <si>
    <t>H</t>
  </si>
  <si>
    <t>Masa del Suelo Seco (E-F)</t>
  </si>
  <si>
    <t>I</t>
  </si>
  <si>
    <t>% de Humedad (G/H*100)</t>
  </si>
  <si>
    <t>Equipo utilizado</t>
  </si>
  <si>
    <t>Código</t>
  </si>
  <si>
    <t xml:space="preserve">Observaciones: </t>
  </si>
  <si>
    <t>Balanza 0.01 g</t>
  </si>
  <si>
    <t>Horno 110ºC</t>
  </si>
  <si>
    <t>Copa casagrande</t>
  </si>
  <si>
    <t>Ranurador</t>
  </si>
  <si>
    <t>Página 1 de 1</t>
  </si>
  <si>
    <t>Versión: 03 (03-08-2023)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</si>
  <si>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</si>
  <si>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Av. Marañon 763, Los Olivos-Lima / Teléfono 01 754-3070</t>
  </si>
  <si>
    <t>F. EMISIÓN</t>
  </si>
  <si>
    <t>OT N°</t>
  </si>
  <si>
    <t>CÓDIGO DE LA MUESTRA</t>
  </si>
  <si>
    <t>Ecuación</t>
  </si>
  <si>
    <t>2*RAIZ(0.0000443+0.000000000230xR2)</t>
  </si>
  <si>
    <t xml:space="preserve">Código </t>
  </si>
  <si>
    <t>Fecha ultima calibración</t>
  </si>
  <si>
    <t>Factor de precision del operador LIMITE LIQUIDO</t>
  </si>
  <si>
    <t>Factor de precision del operador LIMITE PLASTICO</t>
  </si>
  <si>
    <t>Mensurando:</t>
  </si>
  <si>
    <t>Paso 1. Definición del proceso de medición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</si>
  <si>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</si>
  <si>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</si>
  <si>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</si>
  <si>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</si>
  <si>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</si>
  <si>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</si>
  <si>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ÍNDICE DE PLASTICIDAD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</si>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</sst>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0.0"/>
    <numFmt numFmtId="165" formatCode="\L\ \-\ 0000"/>
    <numFmt numFmtId="166" formatCode="dd\-mmm\-yyyy"/>
    <numFmt numFmtId="167" formatCode="000"/>
    <numFmt numFmtId="168" formatCode="dd/mm/yyyy;@"/>
    <numFmt numFmtId="169" formatCode="0\ &quot;/ CO-06&quot;"/>
    <numFmt numFmtId="170" formatCode="#,##0.0"/>
    <numFmt numFmtId="171" formatCode="&quot;CERTIFICADO N°&quot;000&quot;-2020&quot;"/>
    <numFmt numFmtId="172" formatCode="0.000"/>
    <numFmt numFmtId="173" formatCode="dd\-mm\-yy;@"/>
    <numFmt numFmtId="174" formatCode="000\-\ &quot;21&quot;"/>
    <numFmt numFmtId="175" formatCode="000&quot;-21 SU11&quot;"/>
    <numFmt numFmtId="176" formatCode="000&quot;-SU-21&quot;"/>
    <numFmt numFmtId="177" formatCode="&quot;INFORME DE ENSAYO N°&quot;000&quot;-21 SU11&quot;"/>
    <numFmt numFmtId="178" formatCode="0.0E+00"/>
    <numFmt numFmtId="179" formatCode="0.0000"/>
    <numFmt numFmtId="180" formatCode="0.00000"/>
    <numFmt numFmtId="181" formatCode="&quot;0&quot;0"/>
    <numFmt numFmtId="182" formatCode="_([$€-2]\ * #,##0.00_);_([$€-2]\ * \(#,##0.00\);_([$€-2]\ * &quot;-&quot;??_)"/>
    <numFmt numFmtId="183" formatCode="0E+00"/>
    <numFmt numFmtId="184" formatCode="0.000E+00"/>
    <numFmt numFmtId="185" formatCode="0.0000E+00"/>
    <numFmt numFmtId="186" formatCode="yyyy\-mm\-dd;@"/>
    <numFmt numFmtId="187" formatCode="&quot;INFORME DE ENSAYO N°&quot;000&quot;-26 SU23&quot;"/>
    <numFmt numFmtId="188" formatCode="000&quot;-SU-26&quot;"/>
    <numFmt numFmtId="189" formatCode="000\-\ &quot;26&quot;"/>
    <numFmt numFmtId="190" formatCode="&quot;Ref. Informe N°&quot;000&quot;-26 SU20&quot;"/>
    <numFmt numFmtId="191" formatCode="&quot;FORMATO F-LEM-P-SU-11.01&quot;"/>
  </numFmts>
  <fonts count="8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b/>
      <sz val="9"/>
      <name val="Arial"/>
      <family val="2"/>
    </font>
    <font>
      <sz val="8"/>
      <color theme="1"/>
      <name val="Arial"/>
      <family val="2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0000FF"/>
      <name val="Arial"/>
      <family val="2"/>
    </font>
    <font>
      <sz val="11"/>
      <color rgb="FF0000FF"/>
      <name val="Times New Roman"/>
      <family val="1"/>
    </font>
    <font>
      <sz val="8"/>
      <color rgb="FF0000FF"/>
      <name val="Times New Roman"/>
      <family val="1"/>
    </font>
    <font>
      <b/>
      <sz val="8"/>
      <color theme="1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sz val="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.5"/>
      <color theme="1"/>
      <name val="Arial"/>
      <family val="2"/>
    </font>
    <font>
      <sz val="8.5"/>
      <name val="Arial"/>
      <family val="2"/>
    </font>
    <font>
      <b/>
      <vertAlign val="superscript"/>
      <sz val="10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8"/>
      <name val="Cambria"/>
      <family val="1"/>
      <scheme val="major"/>
    </font>
    <font>
      <b/>
      <sz val="8"/>
      <color rgb="FF0000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8"/>
      <color rgb="FF0000FF"/>
      <name val="Arial"/>
      <family val="2"/>
    </font>
    <font>
      <sz val="9"/>
      <color rgb="FF00B0F0"/>
      <name val="Arial"/>
      <family val="2"/>
    </font>
    <font>
      <sz val="11"/>
      <color rgb="FFFF000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7" tint="0.39997558519241921"/>
      <name val="Arial"/>
      <family val="2"/>
    </font>
    <font>
      <sz val="8"/>
      <color theme="7" tint="0.39997558519241921"/>
      <name val="Arial"/>
      <family val="2"/>
    </font>
    <font>
      <b/>
      <sz val="10"/>
      <color theme="7" tint="0.39997558519241921"/>
      <name val="Arial"/>
      <family val="2"/>
    </font>
    <font>
      <b/>
      <sz val="10"/>
      <color rgb="FF0000FF"/>
      <name val="Times New Roman"/>
      <family val="1"/>
    </font>
    <font>
      <vertAlign val="superscript"/>
      <sz val="11"/>
      <color theme="1"/>
      <name val="Arial"/>
      <family val="2"/>
    </font>
    <font>
      <b/>
      <sz val="9"/>
      <color rgb="FFC0000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2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60" fillId="0" borderId="0"/>
    <xf numFmtId="0" fontId="4" fillId="0" borderId="0"/>
    <xf numFmtId="0" fontId="3" fillId="0" borderId="0"/>
    <xf numFmtId="0" fontId="4" fillId="0" borderId="0"/>
    <xf numFmtId="182" fontId="4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79" fillId="0" borderId="0" applyFont="0" applyFill="0" applyBorder="0" applyAlignment="0" applyProtection="0"/>
  </cellStyleXfs>
  <cellXfs count="97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9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left" indent="1"/>
      <protection hidden="1"/>
    </xf>
    <xf numFmtId="0" fontId="11" fillId="0" borderId="6" xfId="0" applyFont="1" applyBorder="1" applyAlignment="1" applyProtection="1">
      <alignment horizontal="left" indent="1"/>
      <protection hidden="1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horizontal="left" indent="1"/>
      <protection hidden="1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22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0" fontId="6" fillId="0" borderId="0" xfId="0" applyFont="1" applyAlignment="1">
      <alignment vertical="center"/>
    </xf>
    <xf numFmtId="171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4" fontId="11" fillId="0" borderId="0" xfId="0" applyNumberFormat="1" applyFont="1" applyAlignment="1">
      <alignment horizontal="left" vertical="center"/>
    </xf>
    <xf numFmtId="0" fontId="7" fillId="0" borderId="0" xfId="2" applyFont="1"/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5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166" fontId="7" fillId="0" borderId="0" xfId="0" applyNumberFormat="1" applyFont="1" applyAlignment="1" applyProtection="1">
      <alignment horizontal="left"/>
      <protection hidden="1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Alignment="1" applyProtection="1">
      <alignment vertical="center"/>
      <protection hidden="1"/>
    </xf>
    <xf numFmtId="176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hidden="1"/>
    </xf>
    <xf numFmtId="168" fontId="7" fillId="0" borderId="0" xfId="0" applyNumberFormat="1" applyFont="1" applyProtection="1">
      <protection hidden="1"/>
    </xf>
    <xf numFmtId="0" fontId="7" fillId="0" borderId="6" xfId="0" applyFont="1" applyBorder="1" applyProtection="1">
      <protection hidden="1"/>
    </xf>
    <xf numFmtId="3" fontId="10" fillId="0" borderId="7" xfId="0" applyNumberFormat="1" applyFont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8" fillId="0" borderId="1" xfId="0" quotePrefix="1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167" fontId="27" fillId="0" borderId="10" xfId="0" quotePrefix="1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167" fontId="16" fillId="0" borderId="10" xfId="0" quotePrefix="1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31" fillId="0" borderId="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0" fillId="0" borderId="18" xfId="0" applyFont="1" applyBorder="1" applyProtection="1">
      <protection hidden="1"/>
    </xf>
    <xf numFmtId="0" fontId="30" fillId="0" borderId="12" xfId="0" applyFont="1" applyBorder="1" applyProtection="1"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31" fillId="0" borderId="13" xfId="0" applyFont="1" applyBorder="1" applyAlignment="1">
      <alignment horizontal="center" vertical="center"/>
    </xf>
    <xf numFmtId="0" fontId="32" fillId="0" borderId="10" xfId="0" applyFont="1" applyBorder="1" applyProtection="1">
      <protection hidden="1"/>
    </xf>
    <xf numFmtId="0" fontId="32" fillId="0" borderId="12" xfId="0" applyFont="1" applyBorder="1" applyProtection="1">
      <protection hidden="1"/>
    </xf>
    <xf numFmtId="2" fontId="31" fillId="0" borderId="1" xfId="0" applyNumberFormat="1" applyFont="1" applyBorder="1" applyAlignment="1">
      <alignment horizontal="center" vertical="center"/>
    </xf>
    <xf numFmtId="2" fontId="31" fillId="0" borderId="10" xfId="0" applyNumberFormat="1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3" fillId="0" borderId="10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9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5" fillId="0" borderId="0" xfId="0" applyFont="1" applyProtection="1">
      <protection hidden="1"/>
    </xf>
    <xf numFmtId="0" fontId="16" fillId="0" borderId="15" xfId="0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1" fillId="0" borderId="6" xfId="0" applyFont="1" applyBorder="1" applyAlignment="1" applyProtection="1">
      <alignment horizontal="left" vertical="center" indent="2"/>
      <protection hidden="1"/>
    </xf>
    <xf numFmtId="172" fontId="16" fillId="0" borderId="1" xfId="0" applyNumberFormat="1" applyFont="1" applyBorder="1" applyAlignment="1">
      <alignment vertical="center"/>
    </xf>
    <xf numFmtId="0" fontId="11" fillId="0" borderId="8" xfId="0" applyFont="1" applyBorder="1" applyAlignment="1" applyProtection="1">
      <alignment horizontal="left" vertical="center" indent="2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9" xfId="0" applyFont="1" applyBorder="1" applyAlignment="1" applyProtection="1">
      <alignment vertical="center"/>
      <protection hidden="1"/>
    </xf>
    <xf numFmtId="2" fontId="12" fillId="0" borderId="0" xfId="0" applyNumberFormat="1" applyFont="1" applyAlignment="1">
      <alignment horizontal="center" vertical="center"/>
    </xf>
    <xf numFmtId="167" fontId="28" fillId="3" borderId="1" xfId="0" quotePrefix="1" applyNumberFormat="1" applyFont="1" applyFill="1" applyBorder="1" applyAlignment="1">
      <alignment horizontal="center" vertical="center" wrapText="1"/>
    </xf>
    <xf numFmtId="164" fontId="16" fillId="3" borderId="16" xfId="0" applyNumberFormat="1" applyFont="1" applyFill="1" applyBorder="1" applyAlignment="1">
      <alignment horizontal="center" vertical="center"/>
    </xf>
    <xf numFmtId="0" fontId="7" fillId="3" borderId="0" xfId="0" applyFont="1" applyFill="1" applyProtection="1"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5" fillId="2" borderId="6" xfId="0" applyFont="1" applyFill="1" applyBorder="1" applyAlignment="1" applyProtection="1">
      <alignment vertical="center"/>
      <protection hidden="1"/>
    </xf>
    <xf numFmtId="11" fontId="36" fillId="2" borderId="10" xfId="0" applyNumberFormat="1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37" fillId="0" borderId="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8" fillId="0" borderId="10" xfId="0" applyFont="1" applyBorder="1" applyProtection="1">
      <protection hidden="1"/>
    </xf>
    <xf numFmtId="0" fontId="38" fillId="0" borderId="12" xfId="0" applyFont="1" applyBorder="1" applyProtection="1">
      <protection hidden="1"/>
    </xf>
    <xf numFmtId="2" fontId="37" fillId="0" borderId="1" xfId="0" applyNumberFormat="1" applyFont="1" applyBorder="1" applyAlignment="1">
      <alignment horizontal="center" vertical="center"/>
    </xf>
    <xf numFmtId="0" fontId="39" fillId="0" borderId="0" xfId="0" applyFont="1" applyProtection="1">
      <protection hidden="1"/>
    </xf>
    <xf numFmtId="0" fontId="7" fillId="0" borderId="1" xfId="0" applyFont="1" applyBorder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right"/>
      <protection hidden="1"/>
    </xf>
    <xf numFmtId="0" fontId="38" fillId="0" borderId="0" xfId="0" applyFont="1" applyProtection="1">
      <protection hidden="1"/>
    </xf>
    <xf numFmtId="0" fontId="21" fillId="0" borderId="0" xfId="2" applyFont="1" applyAlignment="1">
      <alignment vertical="center"/>
    </xf>
    <xf numFmtId="0" fontId="24" fillId="0" borderId="0" xfId="2" applyFont="1" applyAlignment="1">
      <alignment vertical="center" wrapText="1"/>
    </xf>
    <xf numFmtId="0" fontId="11" fillId="0" borderId="0" xfId="2" applyFont="1" applyAlignment="1">
      <alignment horizontal="right" vertical="center"/>
    </xf>
    <xf numFmtId="173" fontId="11" fillId="0" borderId="7" xfId="0" applyNumberFormat="1" applyFont="1" applyBorder="1" applyAlignment="1" applyProtection="1">
      <alignment horizontal="left" vertical="center"/>
      <protection hidden="1"/>
    </xf>
    <xf numFmtId="0" fontId="40" fillId="0" borderId="2" xfId="0" applyFont="1" applyBorder="1" applyProtection="1"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0" fontId="41" fillId="0" borderId="0" xfId="4" applyFont="1" applyAlignment="1" applyProtection="1">
      <alignment vertical="center" wrapText="1"/>
      <protection hidden="1"/>
    </xf>
    <xf numFmtId="0" fontId="41" fillId="0" borderId="0" xfId="4" applyFont="1" applyAlignment="1" applyProtection="1">
      <alignment vertical="center"/>
      <protection hidden="1"/>
    </xf>
    <xf numFmtId="0" fontId="24" fillId="0" borderId="0" xfId="0" applyFont="1" applyAlignment="1">
      <alignment vertical="center"/>
    </xf>
    <xf numFmtId="0" fontId="16" fillId="0" borderId="0" xfId="0" applyFont="1" applyProtection="1"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/>
      <protection hidden="1"/>
    </xf>
    <xf numFmtId="12" fontId="11" fillId="0" borderId="0" xfId="0" applyNumberFormat="1" applyFont="1" applyAlignment="1">
      <alignment horizontal="left" vertical="center"/>
    </xf>
    <xf numFmtId="0" fontId="43" fillId="0" borderId="0" xfId="0" applyFont="1"/>
    <xf numFmtId="0" fontId="11" fillId="0" borderId="0" xfId="0" applyFont="1" applyAlignment="1">
      <alignment horizontal="left" vertical="center"/>
    </xf>
    <xf numFmtId="0" fontId="11" fillId="0" borderId="0" xfId="2" applyFont="1" applyAlignment="1">
      <alignment horizontal="left" vertical="center" indent="1"/>
    </xf>
    <xf numFmtId="0" fontId="41" fillId="0" borderId="0" xfId="4" applyFont="1" applyAlignment="1" applyProtection="1">
      <alignment horizontal="left" vertical="center"/>
      <protection hidden="1"/>
    </xf>
    <xf numFmtId="0" fontId="11" fillId="0" borderId="6" xfId="2" applyFont="1" applyBorder="1" applyAlignment="1">
      <alignment vertical="center"/>
    </xf>
    <xf numFmtId="2" fontId="7" fillId="0" borderId="0" xfId="0" applyNumberFormat="1" applyFont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left" indent="1"/>
      <protection hidden="1"/>
    </xf>
    <xf numFmtId="0" fontId="46" fillId="0" borderId="0" xfId="4" applyFont="1" applyAlignment="1" applyProtection="1">
      <alignment horizontal="left" vertical="center"/>
      <protection hidden="1"/>
    </xf>
    <xf numFmtId="0" fontId="46" fillId="0" borderId="0" xfId="4" applyFont="1" applyAlignment="1" applyProtection="1">
      <alignment horizontal="center" vertical="center"/>
      <protection hidden="1"/>
    </xf>
    <xf numFmtId="0" fontId="47" fillId="0" borderId="0" xfId="0" applyFont="1"/>
    <xf numFmtId="0" fontId="11" fillId="3" borderId="0" xfId="0" applyFont="1" applyFill="1" applyAlignment="1">
      <alignment vertical="center"/>
    </xf>
    <xf numFmtId="0" fontId="4" fillId="0" borderId="0" xfId="3"/>
    <xf numFmtId="0" fontId="28" fillId="2" borderId="0" xfId="4" applyFont="1" applyFill="1" applyAlignment="1" applyProtection="1">
      <alignment horizontal="left" vertical="center"/>
      <protection hidden="1"/>
    </xf>
    <xf numFmtId="0" fontId="28" fillId="2" borderId="0" xfId="4" applyFont="1" applyFill="1" applyAlignment="1" applyProtection="1">
      <alignment horizontal="center" vertical="center"/>
      <protection hidden="1"/>
    </xf>
    <xf numFmtId="0" fontId="11" fillId="0" borderId="0" xfId="3" applyFont="1"/>
    <xf numFmtId="0" fontId="52" fillId="4" borderId="0" xfId="3" applyFont="1" applyFill="1" applyAlignment="1">
      <alignment vertical="center" wrapText="1"/>
    </xf>
    <xf numFmtId="0" fontId="4" fillId="2" borderId="0" xfId="3" applyFill="1"/>
    <xf numFmtId="0" fontId="55" fillId="2" borderId="10" xfId="3" applyFont="1" applyFill="1" applyBorder="1" applyAlignment="1">
      <alignment horizontal="left" vertical="center" indent="1"/>
    </xf>
    <xf numFmtId="0" fontId="5" fillId="0" borderId="0" xfId="3" applyFont="1" applyAlignment="1">
      <alignment vertical="center"/>
    </xf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71" fontId="7" fillId="0" borderId="0" xfId="0" applyNumberFormat="1" applyFont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0" fontId="7" fillId="0" borderId="0" xfId="2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0" fontId="22" fillId="0" borderId="0" xfId="0" applyFont="1" applyProtection="1">
      <protection locked="0"/>
    </xf>
    <xf numFmtId="0" fontId="7" fillId="0" borderId="7" xfId="0" applyFont="1" applyBorder="1" applyProtection="1"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Protection="1">
      <protection locked="0"/>
    </xf>
    <xf numFmtId="0" fontId="7" fillId="0" borderId="9" xfId="0" applyFont="1" applyBorder="1" applyProtection="1">
      <protection locked="0"/>
    </xf>
    <xf numFmtId="167" fontId="16" fillId="0" borderId="0" xfId="0" quotePrefix="1" applyNumberFormat="1" applyFont="1" applyAlignment="1" applyProtection="1">
      <alignment horizontal="left" vertical="center"/>
      <protection locked="0"/>
    </xf>
    <xf numFmtId="2" fontId="31" fillId="0" borderId="0" xfId="0" applyNumberFormat="1" applyFont="1" applyAlignment="1" applyProtection="1">
      <alignment horizontal="center" vertical="center"/>
      <protection locked="0"/>
    </xf>
    <xf numFmtId="2" fontId="33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8" fontId="7" fillId="0" borderId="0" xfId="0" applyNumberFormat="1" applyFont="1" applyProtection="1">
      <protection locked="0"/>
    </xf>
    <xf numFmtId="10" fontId="9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7" fillId="0" borderId="0" xfId="0" applyFont="1"/>
    <xf numFmtId="0" fontId="11" fillId="0" borderId="0" xfId="0" applyFont="1" applyAlignment="1">
      <alignment horizontal="center" vertical="center"/>
    </xf>
    <xf numFmtId="0" fontId="24" fillId="0" borderId="6" xfId="2" applyFont="1" applyBorder="1" applyAlignment="1">
      <alignment horizontal="left" vertical="center"/>
    </xf>
    <xf numFmtId="176" fontId="11" fillId="0" borderId="7" xfId="0" applyNumberFormat="1" applyFont="1" applyBorder="1" applyAlignment="1">
      <alignment horizontal="left" vertical="center"/>
    </xf>
    <xf numFmtId="0" fontId="22" fillId="0" borderId="0" xfId="0" applyFont="1"/>
    <xf numFmtId="0" fontId="7" fillId="0" borderId="2" xfId="0" applyFont="1" applyBorder="1"/>
    <xf numFmtId="0" fontId="7" fillId="0" borderId="3" xfId="0" applyFont="1" applyBorder="1"/>
    <xf numFmtId="167" fontId="27" fillId="0" borderId="1" xfId="0" quotePrefix="1" applyNumberFormat="1" applyFont="1" applyBorder="1" applyAlignment="1">
      <alignment horizontal="left" vertical="center"/>
    </xf>
    <xf numFmtId="167" fontId="16" fillId="0" borderId="12" xfId="0" quotePrefix="1" applyNumberFormat="1" applyFont="1" applyBorder="1" applyAlignment="1">
      <alignment horizontal="center" vertical="center"/>
    </xf>
    <xf numFmtId="0" fontId="30" fillId="0" borderId="12" xfId="0" applyFont="1" applyBorder="1"/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167" fontId="27" fillId="0" borderId="12" xfId="0" quotePrefix="1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/>
    <xf numFmtId="0" fontId="5" fillId="0" borderId="0" xfId="0" applyFont="1"/>
    <xf numFmtId="1" fontId="2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1" fontId="7" fillId="0" borderId="0" xfId="0" applyNumberFormat="1" applyFont="1"/>
    <xf numFmtId="0" fontId="11" fillId="0" borderId="6" xfId="0" applyFont="1" applyBorder="1" applyAlignment="1">
      <alignment horizontal="left" indent="1"/>
    </xf>
    <xf numFmtId="0" fontId="11" fillId="0" borderId="6" xfId="0" applyFont="1" applyBorder="1" applyAlignment="1">
      <alignment horizontal="left" vertical="center" indent="2"/>
    </xf>
    <xf numFmtId="0" fontId="11" fillId="0" borderId="8" xfId="0" applyFont="1" applyBorder="1" applyAlignment="1">
      <alignment horizontal="left" vertical="center" indent="2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0" applyFont="1"/>
    <xf numFmtId="0" fontId="16" fillId="0" borderId="0" xfId="2" applyFont="1" applyAlignment="1">
      <alignment horizontal="left" vertical="center" indent="1"/>
    </xf>
    <xf numFmtId="0" fontId="16" fillId="0" borderId="1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0" borderId="0" xfId="3" applyProtection="1">
      <protection hidden="1"/>
    </xf>
    <xf numFmtId="179" fontId="4" fillId="0" borderId="1" xfId="3" applyNumberFormat="1" applyBorder="1" applyAlignment="1" applyProtection="1">
      <alignment horizontal="center"/>
      <protection hidden="1"/>
    </xf>
    <xf numFmtId="0" fontId="4" fillId="0" borderId="1" xfId="3" applyBorder="1" applyProtection="1">
      <protection hidden="1"/>
    </xf>
    <xf numFmtId="0" fontId="4" fillId="0" borderId="12" xfId="3" applyBorder="1" applyProtection="1">
      <protection hidden="1"/>
    </xf>
    <xf numFmtId="0" fontId="16" fillId="0" borderId="10" xfId="3" applyFont="1" applyBorder="1" applyAlignment="1" applyProtection="1">
      <alignment vertical="center"/>
      <protection hidden="1"/>
    </xf>
    <xf numFmtId="0" fontId="61" fillId="2" borderId="0" xfId="0" applyFont="1" applyFill="1" applyAlignment="1">
      <alignment horizontal="center"/>
    </xf>
    <xf numFmtId="2" fontId="52" fillId="4" borderId="1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Alignment="1" applyProtection="1">
      <alignment horizontal="left"/>
      <protection locked="0"/>
    </xf>
    <xf numFmtId="0" fontId="12" fillId="0" borderId="0" xfId="4" applyFont="1" applyAlignment="1">
      <alignment horizontal="right" vertical="center"/>
    </xf>
    <xf numFmtId="164" fontId="23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7" fontId="16" fillId="0" borderId="1" xfId="0" quotePrefix="1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7" fontId="11" fillId="0" borderId="1" xfId="0" quotePrefix="1" applyNumberFormat="1" applyFont="1" applyBorder="1" applyAlignment="1">
      <alignment horizontal="center" vertical="center" wrapText="1"/>
    </xf>
    <xf numFmtId="167" fontId="27" fillId="0" borderId="1" xfId="0" quotePrefix="1" applyNumberFormat="1" applyFont="1" applyBorder="1" applyAlignment="1">
      <alignment vertical="center"/>
    </xf>
    <xf numFmtId="171" fontId="22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/>
    </xf>
    <xf numFmtId="2" fontId="22" fillId="0" borderId="0" xfId="0" applyNumberFormat="1" applyFont="1" applyAlignment="1" applyProtection="1">
      <alignment horizontal="center"/>
      <protection locked="0"/>
    </xf>
    <xf numFmtId="0" fontId="28" fillId="0" borderId="0" xfId="4" applyFont="1" applyAlignment="1" applyProtection="1">
      <alignment vertical="center" wrapText="1"/>
      <protection locked="0"/>
    </xf>
    <xf numFmtId="0" fontId="16" fillId="0" borderId="0" xfId="4" applyFont="1" applyAlignment="1">
      <alignment horizontal="right" vertical="center"/>
    </xf>
    <xf numFmtId="2" fontId="5" fillId="2" borderId="0" xfId="0" applyNumberFormat="1" applyFont="1" applyFill="1" applyAlignment="1" applyProtection="1">
      <alignment horizontal="left" vertical="center"/>
      <protection locked="0"/>
    </xf>
    <xf numFmtId="0" fontId="16" fillId="0" borderId="1" xfId="0" applyFont="1" applyBorder="1" applyAlignment="1">
      <alignment vertical="center"/>
    </xf>
    <xf numFmtId="164" fontId="16" fillId="0" borderId="6" xfId="0" applyNumberFormat="1" applyFont="1" applyBorder="1" applyAlignment="1">
      <alignment horizontal="center" vertical="center"/>
    </xf>
    <xf numFmtId="0" fontId="65" fillId="0" borderId="0" xfId="0" applyFont="1" applyProtection="1">
      <protection locked="0"/>
    </xf>
    <xf numFmtId="2" fontId="65" fillId="0" borderId="0" xfId="0" applyNumberFormat="1" applyFont="1" applyProtection="1">
      <protection locked="0"/>
    </xf>
    <xf numFmtId="164" fontId="11" fillId="0" borderId="1" xfId="0" applyNumberFormat="1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64" fillId="0" borderId="0" xfId="0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64" fillId="0" borderId="10" xfId="0" applyFont="1" applyBorder="1" applyAlignment="1">
      <alignment horizontal="center" vertical="center"/>
    </xf>
    <xf numFmtId="172" fontId="16" fillId="0" borderId="11" xfId="0" applyNumberFormat="1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172" fontId="16" fillId="0" borderId="12" xfId="0" applyNumberFormat="1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37" fillId="0" borderId="0" xfId="0" applyNumberFormat="1" applyFont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" fontId="16" fillId="0" borderId="1" xfId="0" applyNumberFormat="1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>
      <alignment horizontal="center" vertical="center" wrapText="1"/>
    </xf>
    <xf numFmtId="0" fontId="9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2" fontId="7" fillId="2" borderId="0" xfId="0" applyNumberFormat="1" applyFont="1" applyFill="1" applyAlignment="1" applyProtection="1">
      <alignment horizontal="center"/>
      <protection locked="0"/>
    </xf>
    <xf numFmtId="0" fontId="12" fillId="2" borderId="0" xfId="4" applyFont="1" applyFill="1" applyAlignment="1" applyProtection="1">
      <alignment vertical="center" wrapText="1"/>
      <protection locked="0"/>
    </xf>
    <xf numFmtId="0" fontId="40" fillId="0" borderId="0" xfId="0" applyFont="1"/>
    <xf numFmtId="0" fontId="11" fillId="0" borderId="2" xfId="2" applyFont="1" applyBorder="1" applyAlignment="1">
      <alignment vertical="center"/>
    </xf>
    <xf numFmtId="0" fontId="11" fillId="0" borderId="0" xfId="0" applyFont="1" applyAlignment="1">
      <alignment horizontal="left" vertical="center" indent="2"/>
    </xf>
    <xf numFmtId="0" fontId="11" fillId="0" borderId="2" xfId="0" applyFont="1" applyBorder="1" applyAlignment="1">
      <alignment horizontal="left" vertical="center" indent="2"/>
    </xf>
    <xf numFmtId="0" fontId="16" fillId="0" borderId="0" xfId="0" applyFont="1" applyAlignment="1">
      <alignment horizontal="left" vertical="center"/>
    </xf>
    <xf numFmtId="0" fontId="16" fillId="0" borderId="0" xfId="4" applyFont="1" applyAlignment="1">
      <alignment horizontal="left" vertical="center" indent="1"/>
    </xf>
    <xf numFmtId="0" fontId="16" fillId="0" borderId="0" xfId="4" applyFont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23" fillId="0" borderId="0" xfId="4" quotePrefix="1" applyFont="1" applyAlignment="1">
      <alignment horizontal="left" vertical="center"/>
    </xf>
    <xf numFmtId="0" fontId="49" fillId="0" borderId="0" xfId="4" applyFont="1" applyAlignment="1">
      <alignment horizontal="right" vertical="center"/>
    </xf>
    <xf numFmtId="0" fontId="37" fillId="0" borderId="0" xfId="0" applyFont="1" applyProtection="1">
      <protection locked="0"/>
    </xf>
    <xf numFmtId="0" fontId="50" fillId="0" borderId="0" xfId="0" applyFont="1" applyAlignment="1">
      <alignment vertical="center"/>
    </xf>
    <xf numFmtId="0" fontId="11" fillId="0" borderId="0" xfId="0" applyFont="1"/>
    <xf numFmtId="0" fontId="37" fillId="0" borderId="0" xfId="4" applyFont="1" applyAlignment="1">
      <alignment horizontal="left" vertical="center" indent="1"/>
    </xf>
    <xf numFmtId="0" fontId="37" fillId="0" borderId="0" xfId="4" applyFont="1" applyAlignment="1">
      <alignment horizontal="left" vertical="center"/>
    </xf>
    <xf numFmtId="0" fontId="37" fillId="0" borderId="0" xfId="4" applyFont="1" applyAlignment="1">
      <alignment horizontal="center" vertical="center"/>
    </xf>
    <xf numFmtId="0" fontId="11" fillId="0" borderId="0" xfId="3" applyFont="1" applyAlignment="1">
      <alignment vertical="center"/>
    </xf>
    <xf numFmtId="0" fontId="50" fillId="0" borderId="0" xfId="0" applyFont="1"/>
    <xf numFmtId="0" fontId="23" fillId="0" borderId="33" xfId="4" quotePrefix="1" applyFont="1" applyBorder="1" applyAlignment="1" applyProtection="1">
      <alignment horizontal="left"/>
      <protection locked="0"/>
    </xf>
    <xf numFmtId="0" fontId="22" fillId="0" borderId="33" xfId="0" applyFont="1" applyBorder="1" applyProtection="1">
      <protection locked="0"/>
    </xf>
    <xf numFmtId="0" fontId="16" fillId="0" borderId="0" xfId="4" quotePrefix="1" applyFont="1" applyAlignment="1">
      <alignment horizontal="left" vertical="center"/>
    </xf>
    <xf numFmtId="0" fontId="16" fillId="0" borderId="0" xfId="2" quotePrefix="1" applyFont="1" applyAlignment="1">
      <alignment horizontal="left" vertical="center"/>
    </xf>
    <xf numFmtId="0" fontId="31" fillId="5" borderId="1" xfId="0" applyFont="1" applyFill="1" applyBorder="1" applyAlignment="1" applyProtection="1">
      <alignment horizontal="center" vertical="center"/>
      <protection locked="0"/>
    </xf>
    <xf numFmtId="0" fontId="63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2" fontId="5" fillId="2" borderId="0" xfId="0" applyNumberFormat="1" applyFont="1" applyFill="1" applyAlignment="1">
      <alignment horizontal="left" vertical="center"/>
    </xf>
    <xf numFmtId="171" fontId="22" fillId="0" borderId="0" xfId="0" applyNumberFormat="1" applyFont="1"/>
    <xf numFmtId="2" fontId="27" fillId="2" borderId="4" xfId="0" applyNumberFormat="1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2" fontId="16" fillId="2" borderId="6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11" fontId="16" fillId="2" borderId="0" xfId="0" applyNumberFormat="1" applyFont="1" applyFill="1" applyAlignment="1">
      <alignment horizontal="center" vertical="center"/>
    </xf>
    <xf numFmtId="0" fontId="16" fillId="2" borderId="8" xfId="0" applyFont="1" applyFill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14" fontId="16" fillId="2" borderId="2" xfId="0" applyNumberFormat="1" applyFont="1" applyFill="1" applyBorder="1" applyAlignment="1">
      <alignment horizontal="center" vertical="center"/>
    </xf>
    <xf numFmtId="14" fontId="27" fillId="2" borderId="2" xfId="0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vertical="center"/>
    </xf>
    <xf numFmtId="0" fontId="16" fillId="2" borderId="9" xfId="0" applyFont="1" applyFill="1" applyBorder="1" applyAlignment="1">
      <alignment vertical="center"/>
    </xf>
    <xf numFmtId="0" fontId="66" fillId="2" borderId="0" xfId="3" applyFont="1" applyFill="1"/>
    <xf numFmtId="0" fontId="22" fillId="2" borderId="0" xfId="0" applyFont="1" applyFill="1"/>
    <xf numFmtId="0" fontId="4" fillId="2" borderId="0" xfId="3" applyFill="1" applyAlignment="1">
      <alignment horizontal="center" vertical="center"/>
    </xf>
    <xf numFmtId="0" fontId="4" fillId="2" borderId="0" xfId="3" quotePrefix="1" applyFill="1" applyAlignment="1" applyProtection="1">
      <alignment vertical="center"/>
      <protection hidden="1"/>
    </xf>
    <xf numFmtId="2" fontId="4" fillId="2" borderId="0" xfId="3" applyNumberForma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5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3" applyFont="1" applyFill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80" fontId="4" fillId="2" borderId="1" xfId="3" applyNumberFormat="1" applyFill="1" applyBorder="1" applyAlignment="1">
      <alignment horizontal="center"/>
    </xf>
    <xf numFmtId="167" fontId="16" fillId="2" borderId="10" xfId="0" quotePrefix="1" applyNumberFormat="1" applyFont="1" applyFill="1" applyBorder="1" applyAlignment="1">
      <alignment horizontal="right" vertical="center"/>
    </xf>
    <xf numFmtId="2" fontId="4" fillId="2" borderId="13" xfId="3" applyNumberFormat="1" applyFill="1" applyBorder="1" applyAlignment="1">
      <alignment horizontal="center"/>
    </xf>
    <xf numFmtId="2" fontId="4" fillId="2" borderId="1" xfId="3" applyNumberFormat="1" applyFill="1" applyBorder="1" applyAlignment="1">
      <alignment horizontal="center"/>
    </xf>
    <xf numFmtId="2" fontId="68" fillId="2" borderId="1" xfId="3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" fontId="4" fillId="2" borderId="1" xfId="3" applyNumberFormat="1" applyFill="1" applyBorder="1" applyAlignment="1">
      <alignment horizontal="center"/>
    </xf>
    <xf numFmtId="0" fontId="4" fillId="2" borderId="1" xfId="3" applyFill="1" applyBorder="1"/>
    <xf numFmtId="0" fontId="4" fillId="2" borderId="0" xfId="3" applyFill="1" applyAlignment="1">
      <alignment vertical="center"/>
    </xf>
    <xf numFmtId="0" fontId="2" fillId="2" borderId="0" xfId="10" applyFont="1" applyFill="1" applyAlignment="1">
      <alignment horizontal="center" vertical="center"/>
    </xf>
    <xf numFmtId="2" fontId="2" fillId="2" borderId="0" xfId="10" applyNumberFormat="1" applyFont="1" applyFill="1" applyAlignment="1">
      <alignment horizontal="center" vertical="center"/>
    </xf>
    <xf numFmtId="14" fontId="4" fillId="2" borderId="0" xfId="3" applyNumberFormat="1" applyFill="1"/>
    <xf numFmtId="2" fontId="4" fillId="2" borderId="0" xfId="3" applyNumberFormat="1" applyFill="1" applyAlignment="1">
      <alignment horizontal="center"/>
    </xf>
    <xf numFmtId="2" fontId="4" fillId="2" borderId="1" xfId="3" applyNumberFormat="1" applyFill="1" applyBorder="1" applyAlignment="1">
      <alignment horizontal="center" vertical="center"/>
    </xf>
    <xf numFmtId="167" fontId="16" fillId="2" borderId="1" xfId="0" quotePrefix="1" applyNumberFormat="1" applyFont="1" applyFill="1" applyBorder="1" applyAlignment="1">
      <alignment horizontal="right" vertical="center"/>
    </xf>
    <xf numFmtId="0" fontId="51" fillId="2" borderId="1" xfId="6" applyFont="1" applyFill="1" applyBorder="1" applyAlignment="1">
      <alignment horizontal="center" vertical="center"/>
    </xf>
    <xf numFmtId="181" fontId="51" fillId="2" borderId="1" xfId="6" quotePrefix="1" applyNumberFormat="1" applyFont="1" applyFill="1" applyBorder="1" applyAlignment="1">
      <alignment horizontal="center" vertical="center"/>
    </xf>
    <xf numFmtId="0" fontId="54" fillId="2" borderId="10" xfId="3" applyFont="1" applyFill="1" applyBorder="1" applyAlignment="1">
      <alignment vertical="center"/>
    </xf>
    <xf numFmtId="0" fontId="54" fillId="2" borderId="10" xfId="3" applyFont="1" applyFill="1" applyBorder="1" applyAlignment="1">
      <alignment vertical="center" wrapText="1"/>
    </xf>
    <xf numFmtId="2" fontId="58" fillId="2" borderId="0" xfId="0" applyNumberFormat="1" applyFont="1" applyFill="1" applyAlignment="1">
      <alignment vertical="center"/>
    </xf>
    <xf numFmtId="0" fontId="52" fillId="4" borderId="1" xfId="0" applyFont="1" applyFill="1" applyBorder="1" applyAlignment="1">
      <alignment horizontal="center" vertical="center" wrapText="1"/>
    </xf>
    <xf numFmtId="184" fontId="16" fillId="2" borderId="1" xfId="3" applyNumberFormat="1" applyFont="1" applyFill="1" applyBorder="1" applyAlignment="1" applyProtection="1">
      <alignment horizontal="center" vertical="center"/>
      <protection hidden="1"/>
    </xf>
    <xf numFmtId="0" fontId="4" fillId="4" borderId="0" xfId="5" applyFill="1" applyAlignment="1">
      <alignment vertical="center" wrapText="1"/>
    </xf>
    <xf numFmtId="2" fontId="4" fillId="2" borderId="36" xfId="0" applyNumberFormat="1" applyFont="1" applyFill="1" applyBorder="1" applyAlignment="1" applyProtection="1">
      <alignment horizontal="center" vertical="center"/>
      <protection locked="0"/>
    </xf>
    <xf numFmtId="179" fontId="4" fillId="2" borderId="37" xfId="0" quotePrefix="1" applyNumberFormat="1" applyFont="1" applyFill="1" applyBorder="1" applyAlignment="1" applyProtection="1">
      <alignment horizontal="center" vertical="center"/>
      <protection hidden="1"/>
    </xf>
    <xf numFmtId="179" fontId="4" fillId="2" borderId="36" xfId="0" quotePrefix="1" applyNumberFormat="1" applyFont="1" applyFill="1" applyBorder="1" applyAlignment="1" applyProtection="1">
      <alignment horizontal="center" vertical="center"/>
      <protection locked="0"/>
    </xf>
    <xf numFmtId="179" fontId="4" fillId="2" borderId="37" xfId="3" quotePrefix="1" applyNumberFormat="1" applyFill="1" applyBorder="1" applyAlignment="1" applyProtection="1">
      <alignment horizontal="center" vertical="center"/>
      <protection locked="0"/>
    </xf>
    <xf numFmtId="2" fontId="4" fillId="2" borderId="37" xfId="3" applyNumberFormat="1" applyFill="1" applyBorder="1" applyAlignment="1" applyProtection="1">
      <alignment vertical="center"/>
      <protection hidden="1"/>
    </xf>
    <xf numFmtId="179" fontId="4" fillId="2" borderId="37" xfId="0" applyNumberFormat="1" applyFont="1" applyFill="1" applyBorder="1" applyAlignment="1" applyProtection="1">
      <alignment horizontal="center" vertical="center"/>
      <protection hidden="1"/>
    </xf>
    <xf numFmtId="179" fontId="4" fillId="2" borderId="37" xfId="0" quotePrefix="1" applyNumberFormat="1" applyFont="1" applyFill="1" applyBorder="1" applyAlignment="1" applyProtection="1">
      <alignment horizontal="center" vertical="center" wrapText="1"/>
      <protection hidden="1"/>
    </xf>
    <xf numFmtId="11" fontId="4" fillId="2" borderId="37" xfId="0" quotePrefix="1" applyNumberFormat="1" applyFont="1" applyFill="1" applyBorder="1" applyAlignment="1" applyProtection="1">
      <alignment horizontal="center" vertical="center" wrapText="1"/>
      <protection hidden="1"/>
    </xf>
    <xf numFmtId="11" fontId="4" fillId="2" borderId="38" xfId="0" quotePrefix="1" applyNumberFormat="1" applyFont="1" applyFill="1" applyBorder="1" applyAlignment="1" applyProtection="1">
      <alignment horizontal="center" vertical="center" wrapText="1"/>
      <protection hidden="1"/>
    </xf>
    <xf numFmtId="2" fontId="4" fillId="2" borderId="37" xfId="3" applyNumberFormat="1" applyFill="1" applyBorder="1" applyAlignment="1" applyProtection="1">
      <alignment horizontal="center" vertical="center"/>
      <protection locked="0"/>
    </xf>
    <xf numFmtId="2" fontId="4" fillId="2" borderId="37" xfId="0" applyNumberFormat="1" applyFont="1" applyFill="1" applyBorder="1" applyAlignment="1" applyProtection="1">
      <alignment vertical="center"/>
      <protection hidden="1"/>
    </xf>
    <xf numFmtId="2" fontId="4" fillId="2" borderId="36" xfId="0" quotePrefix="1" applyNumberFormat="1" applyFont="1" applyFill="1" applyBorder="1" applyAlignment="1" applyProtection="1">
      <alignment horizontal="center" vertical="center"/>
      <protection locked="0"/>
    </xf>
    <xf numFmtId="172" fontId="4" fillId="2" borderId="37" xfId="3" quotePrefix="1" applyNumberFormat="1" applyFill="1" applyBorder="1" applyAlignment="1" applyProtection="1">
      <alignment horizontal="center" vertical="center"/>
      <protection locked="0"/>
    </xf>
    <xf numFmtId="2" fontId="4" fillId="2" borderId="37" xfId="3" applyNumberFormat="1" applyFill="1" applyBorder="1" applyAlignment="1" applyProtection="1">
      <alignment horizontal="left" vertical="center"/>
      <protection hidden="1"/>
    </xf>
    <xf numFmtId="164" fontId="4" fillId="2" borderId="42" xfId="0" quotePrefix="1" applyNumberFormat="1" applyFont="1" applyFill="1" applyBorder="1" applyAlignment="1" applyProtection="1">
      <alignment horizontal="center" vertical="center"/>
      <protection locked="0"/>
    </xf>
    <xf numFmtId="1" fontId="4" fillId="2" borderId="43" xfId="3" quotePrefix="1" applyNumberFormat="1" applyFill="1" applyBorder="1" applyAlignment="1" applyProtection="1">
      <alignment horizontal="center" vertical="center"/>
      <protection locked="0"/>
    </xf>
    <xf numFmtId="0" fontId="4" fillId="2" borderId="43" xfId="3" quotePrefix="1" applyFill="1" applyBorder="1" applyAlignment="1">
      <alignment horizontal="center" vertical="center" wrapText="1"/>
    </xf>
    <xf numFmtId="0" fontId="4" fillId="2" borderId="43" xfId="0" quotePrefix="1" applyFont="1" applyFill="1" applyBorder="1" applyAlignment="1" applyProtection="1">
      <alignment horizontal="center" vertical="center" wrapText="1"/>
      <protection hidden="1"/>
    </xf>
    <xf numFmtId="0" fontId="4" fillId="2" borderId="44" xfId="0" quotePrefix="1" applyFont="1" applyFill="1" applyBorder="1" applyAlignment="1" applyProtection="1">
      <alignment horizontal="center" vertical="center" wrapText="1"/>
      <protection hidden="1"/>
    </xf>
    <xf numFmtId="2" fontId="4" fillId="2" borderId="25" xfId="0" applyNumberFormat="1" applyFont="1" applyFill="1" applyBorder="1" applyAlignment="1">
      <alignment vertical="center"/>
    </xf>
    <xf numFmtId="2" fontId="4" fillId="2" borderId="31" xfId="0" applyNumberFormat="1" applyFont="1" applyFill="1" applyBorder="1" applyAlignment="1">
      <alignment vertical="center"/>
    </xf>
    <xf numFmtId="172" fontId="4" fillId="2" borderId="26" xfId="0" applyNumberFormat="1" applyFont="1" applyFill="1" applyBorder="1" applyAlignment="1">
      <alignment horizontal="center" vertical="center"/>
    </xf>
    <xf numFmtId="2" fontId="4" fillId="2" borderId="48" xfId="0" applyNumberFormat="1" applyFont="1" applyFill="1" applyBorder="1" applyAlignment="1">
      <alignment vertical="center"/>
    </xf>
    <xf numFmtId="2" fontId="4" fillId="2" borderId="49" xfId="0" applyNumberFormat="1" applyFont="1" applyFill="1" applyBorder="1" applyAlignment="1">
      <alignment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6" xfId="3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2" fontId="4" fillId="5" borderId="36" xfId="0" applyNumberFormat="1" applyFont="1" applyFill="1" applyBorder="1" applyAlignment="1" applyProtection="1">
      <alignment horizontal="center" vertical="center"/>
      <protection locked="0"/>
    </xf>
    <xf numFmtId="2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172" fontId="4" fillId="5" borderId="37" xfId="3" applyNumberFormat="1" applyFill="1" applyBorder="1" applyAlignment="1" applyProtection="1">
      <alignment horizontal="center" vertical="center" wrapText="1"/>
      <protection hidden="1"/>
    </xf>
    <xf numFmtId="179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2" fontId="4" fillId="5" borderId="37" xfId="0" applyNumberFormat="1" applyFont="1" applyFill="1" applyBorder="1" applyAlignment="1" applyProtection="1">
      <alignment horizontal="center" vertical="center"/>
      <protection locked="0"/>
    </xf>
    <xf numFmtId="11" fontId="4" fillId="5" borderId="38" xfId="3" applyNumberFormat="1" applyFill="1" applyBorder="1" applyAlignment="1">
      <alignment horizontal="center" vertical="center"/>
    </xf>
    <xf numFmtId="2" fontId="4" fillId="5" borderId="37" xfId="3" quotePrefix="1" applyNumberFormat="1" applyFill="1" applyBorder="1" applyAlignment="1" applyProtection="1">
      <alignment horizontal="center" vertical="center"/>
      <protection hidden="1"/>
    </xf>
    <xf numFmtId="172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11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0" fontId="4" fillId="5" borderId="51" xfId="0" applyFont="1" applyFill="1" applyBorder="1" applyAlignment="1">
      <alignment horizontal="center" vertical="center" wrapText="1"/>
    </xf>
    <xf numFmtId="0" fontId="4" fillId="2" borderId="52" xfId="0" quotePrefix="1" applyFont="1" applyFill="1" applyBorder="1" applyAlignment="1" applyProtection="1">
      <alignment horizontal="center" vertical="center" wrapText="1"/>
      <protection hidden="1"/>
    </xf>
    <xf numFmtId="11" fontId="4" fillId="5" borderId="53" xfId="3" applyNumberFormat="1" applyFill="1" applyBorder="1" applyAlignment="1">
      <alignment horizontal="center" vertical="center"/>
    </xf>
    <xf numFmtId="11" fontId="4" fillId="2" borderId="53" xfId="0" quotePrefix="1" applyNumberFormat="1" applyFont="1" applyFill="1" applyBorder="1" applyAlignment="1" applyProtection="1">
      <alignment horizontal="center" vertical="center" wrapText="1"/>
      <protection hidden="1"/>
    </xf>
    <xf numFmtId="0" fontId="4" fillId="2" borderId="34" xfId="3" quotePrefix="1" applyFill="1" applyBorder="1" applyAlignment="1">
      <alignment horizontal="center" vertical="center" wrapText="1"/>
    </xf>
    <xf numFmtId="0" fontId="4" fillId="2" borderId="34" xfId="0" quotePrefix="1" applyFont="1" applyFill="1" applyBorder="1" applyAlignment="1" applyProtection="1">
      <alignment horizontal="center" vertical="center" wrapText="1"/>
      <protection hidden="1"/>
    </xf>
    <xf numFmtId="0" fontId="4" fillId="2" borderId="35" xfId="0" quotePrefix="1" applyFont="1" applyFill="1" applyBorder="1" applyAlignment="1" applyProtection="1">
      <alignment horizontal="center" vertical="center" wrapText="1"/>
      <protection hidden="1"/>
    </xf>
    <xf numFmtId="2" fontId="4" fillId="2" borderId="50" xfId="0" applyNumberFormat="1" applyFont="1" applyFill="1" applyBorder="1" applyAlignment="1">
      <alignment horizontal="center" vertical="center"/>
    </xf>
    <xf numFmtId="0" fontId="4" fillId="5" borderId="39" xfId="0" applyFont="1" applyFill="1" applyBorder="1" applyAlignment="1" applyProtection="1">
      <alignment vertical="center"/>
      <protection hidden="1"/>
    </xf>
    <xf numFmtId="172" fontId="4" fillId="5" borderId="40" xfId="0" quotePrefix="1" applyNumberFormat="1" applyFont="1" applyFill="1" applyBorder="1" applyAlignment="1" applyProtection="1">
      <alignment horizontal="center" vertical="center"/>
      <protection locked="0"/>
    </xf>
    <xf numFmtId="172" fontId="4" fillId="5" borderId="0" xfId="3" applyNumberFormat="1" applyFill="1" applyAlignment="1">
      <alignment horizontal="center" vertical="center"/>
    </xf>
    <xf numFmtId="2" fontId="4" fillId="5" borderId="40" xfId="3" applyNumberFormat="1" applyFill="1" applyBorder="1" applyAlignment="1" applyProtection="1">
      <alignment horizontal="left" vertical="center"/>
      <protection hidden="1"/>
    </xf>
    <xf numFmtId="179" fontId="4" fillId="5" borderId="40" xfId="0" applyNumberFormat="1" applyFont="1" applyFill="1" applyBorder="1" applyAlignment="1" applyProtection="1">
      <alignment horizontal="center" vertical="center"/>
      <protection hidden="1"/>
    </xf>
    <xf numFmtId="179" fontId="4" fillId="5" borderId="40" xfId="0" quotePrefix="1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>
      <alignment horizontal="right" vertical="center"/>
    </xf>
    <xf numFmtId="0" fontId="57" fillId="4" borderId="0" xfId="5" applyFont="1" applyFill="1" applyAlignment="1">
      <alignment vertical="center" wrapText="1"/>
    </xf>
    <xf numFmtId="11" fontId="4" fillId="5" borderId="41" xfId="3" applyNumberFormat="1" applyFill="1" applyBorder="1" applyAlignment="1">
      <alignment horizontal="center" vertical="center"/>
    </xf>
    <xf numFmtId="2" fontId="4" fillId="2" borderId="37" xfId="3" applyNumberFormat="1" applyFill="1" applyBorder="1" applyAlignment="1" applyProtection="1">
      <alignment horizontal="center" vertical="center"/>
      <protection hidden="1"/>
    </xf>
    <xf numFmtId="2" fontId="4" fillId="2" borderId="37" xfId="0" applyNumberFormat="1" applyFont="1" applyFill="1" applyBorder="1" applyAlignment="1" applyProtection="1">
      <alignment horizontal="center" vertical="center"/>
      <protection hidden="1"/>
    </xf>
    <xf numFmtId="2" fontId="4" fillId="2" borderId="49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179" fontId="4" fillId="5" borderId="37" xfId="3" quotePrefix="1" applyNumberFormat="1" applyFill="1" applyBorder="1" applyAlignment="1" applyProtection="1">
      <alignment horizontal="center" vertical="center"/>
      <protection locked="0"/>
    </xf>
    <xf numFmtId="179" fontId="4" fillId="5" borderId="37" xfId="0" applyNumberFormat="1" applyFont="1" applyFill="1" applyBorder="1" applyAlignment="1" applyProtection="1">
      <alignment horizontal="center" vertical="center"/>
      <protection hidden="1"/>
    </xf>
    <xf numFmtId="179" fontId="4" fillId="5" borderId="37" xfId="0" quotePrefix="1" applyNumberFormat="1" applyFont="1" applyFill="1" applyBorder="1" applyAlignment="1" applyProtection="1">
      <alignment horizontal="center" vertical="center" wrapText="1"/>
      <protection hidden="1"/>
    </xf>
    <xf numFmtId="0" fontId="57" fillId="2" borderId="0" xfId="3" applyFont="1" applyFill="1" applyAlignment="1">
      <alignment horizontal="center" vertical="center"/>
    </xf>
    <xf numFmtId="179" fontId="4" fillId="2" borderId="36" xfId="0" quotePrefix="1" applyNumberFormat="1" applyFont="1" applyFill="1" applyBorder="1" applyAlignment="1" applyProtection="1">
      <alignment horizontal="left" vertical="center"/>
      <protection locked="0"/>
    </xf>
    <xf numFmtId="2" fontId="4" fillId="2" borderId="36" xfId="0" applyNumberFormat="1" applyFont="1" applyFill="1" applyBorder="1" applyAlignment="1" applyProtection="1">
      <alignment horizontal="left" vertical="center"/>
      <protection locked="0"/>
    </xf>
    <xf numFmtId="2" fontId="4" fillId="2" borderId="36" xfId="0" quotePrefix="1" applyNumberFormat="1" applyFont="1" applyFill="1" applyBorder="1" applyAlignment="1" applyProtection="1">
      <alignment horizontal="left" vertical="center"/>
      <protection locked="0"/>
    </xf>
    <xf numFmtId="0" fontId="4" fillId="5" borderId="55" xfId="0" applyFont="1" applyFill="1" applyBorder="1" applyAlignment="1" applyProtection="1">
      <alignment vertical="center"/>
      <protection hidden="1"/>
    </xf>
    <xf numFmtId="172" fontId="4" fillId="5" borderId="54" xfId="0" quotePrefix="1" applyNumberFormat="1" applyFont="1" applyFill="1" applyBorder="1" applyAlignment="1" applyProtection="1">
      <alignment horizontal="center" vertical="center"/>
      <protection locked="0"/>
    </xf>
    <xf numFmtId="172" fontId="4" fillId="5" borderId="54" xfId="3" applyNumberFormat="1" applyFill="1" applyBorder="1" applyAlignment="1">
      <alignment horizontal="center" vertical="center"/>
    </xf>
    <xf numFmtId="2" fontId="4" fillId="5" borderId="54" xfId="3" applyNumberFormat="1" applyFill="1" applyBorder="1" applyAlignment="1" applyProtection="1">
      <alignment horizontal="left" vertical="center"/>
      <protection hidden="1"/>
    </xf>
    <xf numFmtId="179" fontId="4" fillId="5" borderId="54" xfId="0" applyNumberFormat="1" applyFont="1" applyFill="1" applyBorder="1" applyAlignment="1" applyProtection="1">
      <alignment horizontal="center" vertical="center"/>
      <protection hidden="1"/>
    </xf>
    <xf numFmtId="179" fontId="4" fillId="5" borderId="54" xfId="0" quotePrefix="1" applyNumberFormat="1" applyFont="1" applyFill="1" applyBorder="1" applyAlignment="1" applyProtection="1">
      <alignment horizontal="center" vertical="center" wrapText="1"/>
      <protection hidden="1"/>
    </xf>
    <xf numFmtId="2" fontId="4" fillId="2" borderId="45" xfId="0" applyNumberFormat="1" applyFont="1" applyFill="1" applyBorder="1" applyAlignment="1">
      <alignment vertical="center"/>
    </xf>
    <xf numFmtId="2" fontId="4" fillId="2" borderId="46" xfId="0" applyNumberFormat="1" applyFont="1" applyFill="1" applyBorder="1" applyAlignment="1">
      <alignment vertical="center"/>
    </xf>
    <xf numFmtId="172" fontId="4" fillId="2" borderId="47" xfId="0" applyNumberFormat="1" applyFont="1" applyFill="1" applyBorder="1" applyAlignment="1">
      <alignment horizontal="center" vertical="center"/>
    </xf>
    <xf numFmtId="179" fontId="4" fillId="2" borderId="53" xfId="0" applyNumberFormat="1" applyFont="1" applyFill="1" applyBorder="1" applyAlignment="1" applyProtection="1">
      <alignment horizontal="center" vertical="center"/>
      <protection hidden="1"/>
    </xf>
    <xf numFmtId="11" fontId="4" fillId="5" borderId="56" xfId="3" applyNumberFormat="1" applyFill="1" applyBorder="1" applyAlignment="1">
      <alignment horizontal="center" vertical="center"/>
    </xf>
    <xf numFmtId="172" fontId="4" fillId="2" borderId="51" xfId="0" applyNumberFormat="1" applyFont="1" applyFill="1" applyBorder="1" applyAlignment="1">
      <alignment horizontal="center" vertical="center"/>
    </xf>
    <xf numFmtId="0" fontId="16" fillId="2" borderId="0" xfId="0" applyFont="1" applyFill="1" applyAlignment="1" applyProtection="1">
      <alignment vertical="center"/>
      <protection hidden="1"/>
    </xf>
    <xf numFmtId="0" fontId="4" fillId="2" borderId="10" xfId="3" applyFill="1" applyBorder="1" applyAlignment="1" applyProtection="1">
      <alignment horizontal="center" vertical="center"/>
      <protection hidden="1"/>
    </xf>
    <xf numFmtId="0" fontId="4" fillId="2" borderId="1" xfId="3" applyFill="1" applyBorder="1" applyAlignment="1" applyProtection="1">
      <alignment horizontal="center" vertical="center"/>
      <protection hidden="1"/>
    </xf>
    <xf numFmtId="0" fontId="4" fillId="2" borderId="10" xfId="3" applyFill="1" applyBorder="1" applyAlignment="1" applyProtection="1">
      <alignment horizontal="center"/>
      <protection hidden="1"/>
    </xf>
    <xf numFmtId="164" fontId="4" fillId="2" borderId="13" xfId="3" applyNumberFormat="1" applyFill="1" applyBorder="1" applyAlignment="1" applyProtection="1">
      <alignment horizontal="center"/>
      <protection hidden="1"/>
    </xf>
    <xf numFmtId="164" fontId="4" fillId="2" borderId="19" xfId="3" applyNumberFormat="1" applyFill="1" applyBorder="1" applyAlignment="1" applyProtection="1">
      <alignment horizontal="center"/>
      <protection hidden="1"/>
    </xf>
    <xf numFmtId="164" fontId="4" fillId="2" borderId="1" xfId="3" applyNumberFormat="1" applyFill="1" applyBorder="1" applyAlignment="1" applyProtection="1">
      <alignment horizontal="center"/>
      <protection hidden="1"/>
    </xf>
    <xf numFmtId="1" fontId="4" fillId="2" borderId="13" xfId="3" applyNumberFormat="1" applyFill="1" applyBorder="1" applyAlignment="1" applyProtection="1">
      <alignment horizontal="center"/>
      <protection hidden="1"/>
    </xf>
    <xf numFmtId="1" fontId="4" fillId="2" borderId="1" xfId="3" applyNumberFormat="1" applyFill="1" applyBorder="1" applyAlignment="1" applyProtection="1">
      <alignment horizontal="center"/>
      <protection hidden="1"/>
    </xf>
    <xf numFmtId="1" fontId="4" fillId="2" borderId="20" xfId="3" applyNumberFormat="1" applyFill="1" applyBorder="1" applyAlignment="1" applyProtection="1">
      <alignment horizontal="center"/>
      <protection hidden="1"/>
    </xf>
    <xf numFmtId="167" fontId="11" fillId="0" borderId="1" xfId="0" quotePrefix="1" applyNumberFormat="1" applyFont="1" applyBorder="1" applyAlignment="1">
      <alignment horizontal="left" vertical="center"/>
    </xf>
    <xf numFmtId="2" fontId="5" fillId="2" borderId="43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0" xfId="3" applyFill="1" applyProtection="1">
      <protection hidden="1"/>
    </xf>
    <xf numFmtId="0" fontId="16" fillId="2" borderId="0" xfId="3" applyFont="1" applyFill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center" vertical="center"/>
      <protection hidden="1"/>
    </xf>
    <xf numFmtId="0" fontId="16" fillId="2" borderId="29" xfId="3" applyFont="1" applyFill="1" applyBorder="1" applyAlignment="1" applyProtection="1">
      <alignment vertical="center"/>
      <protection hidden="1"/>
    </xf>
    <xf numFmtId="0" fontId="16" fillId="2" borderId="10" xfId="3" applyFont="1" applyFill="1" applyBorder="1" applyAlignment="1" applyProtection="1">
      <alignment vertical="center"/>
      <protection hidden="1"/>
    </xf>
    <xf numFmtId="0" fontId="4" fillId="2" borderId="12" xfId="3" applyFill="1" applyBorder="1" applyProtection="1">
      <protection hidden="1"/>
    </xf>
    <xf numFmtId="172" fontId="4" fillId="2" borderId="1" xfId="3" applyNumberFormat="1" applyFill="1" applyBorder="1" applyProtection="1">
      <protection hidden="1"/>
    </xf>
    <xf numFmtId="1" fontId="4" fillId="2" borderId="0" xfId="3" applyNumberFormat="1" applyFill="1"/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2" xfId="3" applyFont="1" applyFill="1" applyBorder="1" applyAlignment="1" applyProtection="1">
      <alignment vertical="center"/>
      <protection hidden="1"/>
    </xf>
    <xf numFmtId="0" fontId="27" fillId="2" borderId="10" xfId="3" applyFont="1" applyFill="1" applyBorder="1" applyAlignment="1" applyProtection="1">
      <alignment vertical="center"/>
      <protection hidden="1"/>
    </xf>
    <xf numFmtId="0" fontId="57" fillId="2" borderId="0" xfId="3" applyFont="1" applyFill="1" applyAlignment="1">
      <alignment horizontal="left"/>
    </xf>
    <xf numFmtId="0" fontId="57" fillId="2" borderId="0" xfId="3" applyFont="1" applyFill="1"/>
    <xf numFmtId="0" fontId="4" fillId="2" borderId="0" xfId="3" quotePrefix="1" applyFill="1" applyAlignment="1">
      <alignment horizontal="left"/>
    </xf>
    <xf numFmtId="0" fontId="4" fillId="2" borderId="0" xfId="3" applyFill="1" applyAlignment="1">
      <alignment horizontal="left"/>
    </xf>
    <xf numFmtId="0" fontId="4" fillId="2" borderId="13" xfId="3" applyFill="1" applyBorder="1" applyAlignment="1">
      <alignment horizontal="center"/>
    </xf>
    <xf numFmtId="0" fontId="68" fillId="2" borderId="1" xfId="0" applyFont="1" applyFill="1" applyBorder="1" applyAlignment="1">
      <alignment horizontal="center"/>
    </xf>
    <xf numFmtId="0" fontId="68" fillId="2" borderId="1" xfId="0" applyFont="1" applyFill="1" applyBorder="1" applyAlignment="1" applyProtection="1">
      <alignment horizontal="center"/>
      <protection hidden="1"/>
    </xf>
    <xf numFmtId="164" fontId="68" fillId="2" borderId="1" xfId="0" applyNumberFormat="1" applyFont="1" applyFill="1" applyBorder="1" applyAlignment="1" applyProtection="1">
      <alignment horizontal="center"/>
      <protection hidden="1"/>
    </xf>
    <xf numFmtId="14" fontId="4" fillId="2" borderId="1" xfId="3" applyNumberFormat="1" applyFill="1" applyBorder="1"/>
    <xf numFmtId="2" fontId="4" fillId="2" borderId="12" xfId="3" applyNumberFormat="1" applyFill="1" applyBorder="1" applyAlignment="1">
      <alignment horizontal="center" vertical="center"/>
    </xf>
    <xf numFmtId="1" fontId="4" fillId="2" borderId="9" xfId="3" applyNumberFormat="1" applyFill="1" applyBorder="1" applyAlignment="1">
      <alignment horizontal="center"/>
    </xf>
    <xf numFmtId="1" fontId="4" fillId="2" borderId="13" xfId="3" applyNumberFormat="1" applyFill="1" applyBorder="1" applyAlignment="1">
      <alignment horizontal="left"/>
    </xf>
    <xf numFmtId="0" fontId="53" fillId="4" borderId="0" xfId="5" applyFont="1" applyFill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2" borderId="0" xfId="0" quotePrefix="1" applyFill="1" applyAlignment="1" applyProtection="1">
      <alignment horizontal="center" vertical="center"/>
      <protection hidden="1"/>
    </xf>
    <xf numFmtId="2" fontId="5" fillId="2" borderId="0" xfId="0" quotePrefix="1" applyNumberFormat="1" applyFont="1" applyFill="1" applyAlignment="1" applyProtection="1">
      <alignment horizontal="center" vertical="center"/>
      <protection hidden="1"/>
    </xf>
    <xf numFmtId="2" fontId="4" fillId="2" borderId="0" xfId="0" applyNumberFormat="1" applyFont="1" applyFill="1" applyAlignment="1" applyProtection="1">
      <alignment horizontal="center" vertical="center"/>
      <protection hidden="1"/>
    </xf>
    <xf numFmtId="164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1" fontId="5" fillId="2" borderId="0" xfId="3" applyNumberFormat="1" applyFont="1" applyFill="1" applyAlignment="1">
      <alignment horizontal="center" vertical="center"/>
    </xf>
    <xf numFmtId="2" fontId="5" fillId="2" borderId="0" xfId="0" applyNumberFormat="1" applyFont="1" applyFill="1" applyAlignment="1" applyProtection="1">
      <alignment vertical="center"/>
      <protection hidden="1"/>
    </xf>
    <xf numFmtId="180" fontId="0" fillId="2" borderId="0" xfId="0" quotePrefix="1" applyNumberFormat="1" applyFill="1" applyAlignment="1" applyProtection="1">
      <alignment horizontal="center" vertical="center"/>
      <protection hidden="1"/>
    </xf>
    <xf numFmtId="1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179" fontId="0" fillId="2" borderId="0" xfId="0" quotePrefix="1" applyNumberForma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172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83" fontId="4" fillId="2" borderId="0" xfId="0" applyNumberFormat="1" applyFont="1" applyFill="1" applyAlignment="1" applyProtection="1">
      <alignment horizontal="center" vertical="center"/>
      <protection hidden="1"/>
    </xf>
    <xf numFmtId="2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0" fillId="2" borderId="0" xfId="0" applyNumberFormat="1" applyFill="1" applyAlignment="1" applyProtection="1">
      <alignment horizontal="center" vertical="center"/>
      <protection hidden="1"/>
    </xf>
    <xf numFmtId="180" fontId="4" fillId="2" borderId="0" xfId="0" applyNumberFormat="1" applyFont="1" applyFill="1" applyAlignment="1" applyProtection="1">
      <alignment horizontal="center" vertical="center"/>
      <protection hidden="1"/>
    </xf>
    <xf numFmtId="164" fontId="0" fillId="2" borderId="0" xfId="0" quotePrefix="1" applyNumberFormat="1" applyFill="1" applyAlignment="1" applyProtection="1">
      <alignment horizontal="center" vertical="center"/>
      <protection locked="0"/>
    </xf>
    <xf numFmtId="179" fontId="4" fillId="2" borderId="0" xfId="0" applyNumberFormat="1" applyFont="1" applyFill="1" applyAlignment="1" applyProtection="1">
      <alignment horizontal="center" vertical="center"/>
      <protection hidden="1"/>
    </xf>
    <xf numFmtId="11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179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4" fillId="2" borderId="0" xfId="0" quotePrefix="1" applyNumberFormat="1" applyFont="1" applyFill="1" applyAlignment="1" applyProtection="1">
      <alignment horizontal="center" vertical="center"/>
      <protection locked="0"/>
    </xf>
    <xf numFmtId="185" fontId="5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 applyProtection="1">
      <alignment horizontal="left" vertical="center"/>
      <protection hidden="1"/>
    </xf>
    <xf numFmtId="172" fontId="4" fillId="2" borderId="0" xfId="0" applyNumberFormat="1" applyFont="1" applyFill="1" applyAlignment="1" applyProtection="1">
      <alignment horizontal="center" vertical="center"/>
      <protection hidden="1"/>
    </xf>
    <xf numFmtId="179" fontId="4" fillId="2" borderId="0" xfId="0" quotePrefix="1" applyNumberFormat="1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 applyProtection="1">
      <alignment horizontal="center" vertical="center"/>
      <protection hidden="1"/>
    </xf>
    <xf numFmtId="0" fontId="52" fillId="4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2" fillId="4" borderId="0" xfId="0" applyFont="1" applyFill="1" applyAlignment="1">
      <alignment horizontal="center" vertical="center" wrapText="1"/>
    </xf>
    <xf numFmtId="184" fontId="16" fillId="2" borderId="0" xfId="3" applyNumberFormat="1" applyFont="1" applyFill="1" applyAlignment="1" applyProtection="1">
      <alignment horizontal="center" vertical="center"/>
      <protection hidden="1"/>
    </xf>
    <xf numFmtId="2" fontId="52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2" borderId="10" xfId="3" applyFill="1" applyBorder="1" applyAlignment="1">
      <alignment horizontal="center" vertical="center"/>
    </xf>
    <xf numFmtId="0" fontId="4" fillId="2" borderId="1" xfId="3" applyFill="1" applyBorder="1" applyAlignment="1">
      <alignment horizontal="center" vertical="center"/>
    </xf>
    <xf numFmtId="1" fontId="4" fillId="2" borderId="13" xfId="3" applyNumberFormat="1" applyFill="1" applyBorder="1" applyAlignment="1">
      <alignment horizontal="center"/>
    </xf>
    <xf numFmtId="164" fontId="4" fillId="2" borderId="13" xfId="3" applyNumberFormat="1" applyFill="1" applyBorder="1" applyAlignment="1">
      <alignment horizontal="center"/>
    </xf>
    <xf numFmtId="1" fontId="4" fillId="2" borderId="20" xfId="3" applyNumberFormat="1" applyFill="1" applyBorder="1" applyAlignment="1">
      <alignment horizontal="center"/>
    </xf>
    <xf numFmtId="164" fontId="4" fillId="2" borderId="19" xfId="3" applyNumberFormat="1" applyFill="1" applyBorder="1" applyAlignment="1">
      <alignment horizontal="center"/>
    </xf>
    <xf numFmtId="0" fontId="4" fillId="2" borderId="10" xfId="3" applyFill="1" applyBorder="1" applyAlignment="1">
      <alignment horizontal="center"/>
    </xf>
    <xf numFmtId="164" fontId="4" fillId="2" borderId="1" xfId="3" applyNumberFormat="1" applyFill="1" applyBorder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4" fillId="0" borderId="1" xfId="3" applyBorder="1"/>
    <xf numFmtId="0" fontId="7" fillId="2" borderId="0" xfId="0" applyFont="1" applyFill="1"/>
    <xf numFmtId="0" fontId="9" fillId="0" borderId="0" xfId="0" applyFont="1"/>
    <xf numFmtId="0" fontId="71" fillId="2" borderId="0" xfId="3" applyFont="1" applyFill="1" applyProtection="1">
      <protection hidden="1"/>
    </xf>
    <xf numFmtId="0" fontId="71" fillId="2" borderId="0" xfId="3" applyFont="1" applyFill="1"/>
    <xf numFmtId="0" fontId="71" fillId="2" borderId="0" xfId="0" applyFont="1" applyFill="1"/>
    <xf numFmtId="0" fontId="73" fillId="2" borderId="10" xfId="3" applyFont="1" applyFill="1" applyBorder="1" applyProtection="1">
      <protection hidden="1"/>
    </xf>
    <xf numFmtId="0" fontId="73" fillId="2" borderId="12" xfId="3" applyFont="1" applyFill="1" applyBorder="1" applyProtection="1">
      <protection hidden="1"/>
    </xf>
    <xf numFmtId="2" fontId="73" fillId="2" borderId="1" xfId="3" applyNumberFormat="1" applyFont="1" applyFill="1" applyBorder="1" applyProtection="1">
      <protection hidden="1"/>
    </xf>
    <xf numFmtId="0" fontId="73" fillId="2" borderId="0" xfId="3" applyFont="1" applyFill="1" applyProtection="1">
      <protection hidden="1"/>
    </xf>
    <xf numFmtId="0" fontId="73" fillId="2" borderId="0" xfId="0" applyFont="1" applyFill="1"/>
    <xf numFmtId="0" fontId="73" fillId="2" borderId="1" xfId="3" applyFont="1" applyFill="1" applyBorder="1" applyProtection="1">
      <protection hidden="1"/>
    </xf>
    <xf numFmtId="0" fontId="73" fillId="2" borderId="0" xfId="3" applyFont="1" applyFill="1"/>
    <xf numFmtId="0" fontId="73" fillId="2" borderId="10" xfId="3" applyFont="1" applyFill="1" applyBorder="1" applyAlignment="1" applyProtection="1">
      <alignment horizontal="center" vertical="center"/>
      <protection hidden="1"/>
    </xf>
    <xf numFmtId="0" fontId="73" fillId="2" borderId="1" xfId="3" applyFont="1" applyFill="1" applyBorder="1" applyAlignment="1" applyProtection="1">
      <alignment horizontal="center" vertical="center"/>
      <protection hidden="1"/>
    </xf>
    <xf numFmtId="0" fontId="74" fillId="2" borderId="1" xfId="3" applyFont="1" applyFill="1" applyBorder="1" applyAlignment="1" applyProtection="1">
      <alignment horizontal="center" vertical="center" wrapText="1"/>
      <protection hidden="1"/>
    </xf>
    <xf numFmtId="2" fontId="73" fillId="2" borderId="13" xfId="3" applyNumberFormat="1" applyFont="1" applyFill="1" applyBorder="1" applyAlignment="1" applyProtection="1">
      <alignment horizontal="center"/>
      <protection hidden="1"/>
    </xf>
    <xf numFmtId="2" fontId="73" fillId="2" borderId="1" xfId="0" applyNumberFormat="1" applyFont="1" applyFill="1" applyBorder="1" applyProtection="1">
      <protection hidden="1"/>
    </xf>
    <xf numFmtId="2" fontId="73" fillId="2" borderId="1" xfId="3" applyNumberFormat="1" applyFont="1" applyFill="1" applyBorder="1" applyAlignment="1" applyProtection="1">
      <alignment horizontal="center"/>
      <protection hidden="1"/>
    </xf>
    <xf numFmtId="2" fontId="73" fillId="2" borderId="20" xfId="3" applyNumberFormat="1" applyFont="1" applyFill="1" applyBorder="1" applyAlignment="1" applyProtection="1">
      <alignment horizontal="center"/>
      <protection hidden="1"/>
    </xf>
    <xf numFmtId="2" fontId="73" fillId="2" borderId="19" xfId="3" applyNumberFormat="1" applyFont="1" applyFill="1" applyBorder="1" applyAlignment="1" applyProtection="1">
      <alignment horizontal="center"/>
      <protection hidden="1"/>
    </xf>
    <xf numFmtId="0" fontId="73" fillId="2" borderId="10" xfId="3" applyFont="1" applyFill="1" applyBorder="1" applyAlignment="1" applyProtection="1">
      <alignment horizontal="center"/>
      <protection hidden="1"/>
    </xf>
    <xf numFmtId="0" fontId="73" fillId="2" borderId="0" xfId="0" applyFont="1" applyFill="1" applyProtection="1">
      <protection hidden="1"/>
    </xf>
    <xf numFmtId="179" fontId="73" fillId="2" borderId="1" xfId="3" applyNumberFormat="1" applyFont="1" applyFill="1" applyBorder="1" applyAlignment="1" applyProtection="1">
      <alignment horizontal="center"/>
      <protection hidden="1"/>
    </xf>
    <xf numFmtId="0" fontId="73" fillId="2" borderId="25" xfId="3" applyFont="1" applyFill="1" applyBorder="1" applyProtection="1">
      <protection hidden="1"/>
    </xf>
    <xf numFmtId="0" fontId="73" fillId="2" borderId="31" xfId="3" applyFont="1" applyFill="1" applyBorder="1" applyProtection="1">
      <protection hidden="1"/>
    </xf>
    <xf numFmtId="179" fontId="73" fillId="2" borderId="26" xfId="3" applyNumberFormat="1" applyFont="1" applyFill="1" applyBorder="1" applyProtection="1">
      <protection hidden="1"/>
    </xf>
    <xf numFmtId="179" fontId="73" fillId="2" borderId="1" xfId="3" applyNumberFormat="1" applyFont="1" applyFill="1" applyBorder="1" applyProtection="1">
      <protection hidden="1"/>
    </xf>
    <xf numFmtId="0" fontId="73" fillId="2" borderId="26" xfId="3" applyFont="1" applyFill="1" applyBorder="1" applyProtection="1">
      <protection hidden="1"/>
    </xf>
    <xf numFmtId="0" fontId="73" fillId="2" borderId="0" xfId="3" applyFont="1" applyFill="1" applyAlignment="1" applyProtection="1">
      <alignment vertical="top"/>
      <protection hidden="1"/>
    </xf>
    <xf numFmtId="0" fontId="73" fillId="2" borderId="0" xfId="3" quotePrefix="1" applyFont="1" applyFill="1" applyAlignment="1" applyProtection="1">
      <alignment horizontal="center"/>
      <protection hidden="1"/>
    </xf>
    <xf numFmtId="0" fontId="73" fillId="2" borderId="25" xfId="3" applyFont="1" applyFill="1" applyBorder="1" applyAlignment="1" applyProtection="1">
      <alignment horizontal="center"/>
      <protection hidden="1"/>
    </xf>
    <xf numFmtId="0" fontId="73" fillId="2" borderId="32" xfId="3" applyFont="1" applyFill="1" applyBorder="1" applyAlignment="1" applyProtection="1">
      <alignment horizontal="center"/>
      <protection hidden="1"/>
    </xf>
    <xf numFmtId="0" fontId="73" fillId="2" borderId="0" xfId="3" applyFont="1" applyFill="1" applyAlignment="1" applyProtection="1">
      <alignment horizontal="center"/>
      <protection hidden="1"/>
    </xf>
    <xf numFmtId="2" fontId="73" fillId="2" borderId="28" xfId="3" applyNumberFormat="1" applyFont="1" applyFill="1" applyBorder="1" applyAlignment="1" applyProtection="1">
      <alignment horizontal="center"/>
      <protection hidden="1"/>
    </xf>
    <xf numFmtId="172" fontId="73" fillId="2" borderId="27" xfId="0" applyNumberFormat="1" applyFont="1" applyFill="1" applyBorder="1" applyProtection="1">
      <protection hidden="1"/>
    </xf>
    <xf numFmtId="2" fontId="73" fillId="2" borderId="0" xfId="3" applyNumberFormat="1" applyFont="1" applyFill="1" applyAlignment="1" applyProtection="1">
      <alignment horizontal="center"/>
      <protection hidden="1"/>
    </xf>
    <xf numFmtId="2" fontId="73" fillId="2" borderId="21" xfId="3" applyNumberFormat="1" applyFont="1" applyFill="1" applyBorder="1" applyAlignment="1" applyProtection="1">
      <alignment horizontal="center"/>
      <protection hidden="1"/>
    </xf>
    <xf numFmtId="172" fontId="73" fillId="2" borderId="23" xfId="0" applyNumberFormat="1" applyFont="1" applyFill="1" applyBorder="1" applyProtection="1">
      <protection hidden="1"/>
    </xf>
    <xf numFmtId="180" fontId="73" fillId="2" borderId="0" xfId="3" applyNumberFormat="1" applyFont="1" applyFill="1" applyAlignment="1" applyProtection="1">
      <alignment horizontal="center"/>
      <protection hidden="1"/>
    </xf>
    <xf numFmtId="2" fontId="73" fillId="2" borderId="22" xfId="3" applyNumberFormat="1" applyFont="1" applyFill="1" applyBorder="1" applyAlignment="1" applyProtection="1">
      <alignment horizontal="center"/>
      <protection hidden="1"/>
    </xf>
    <xf numFmtId="172" fontId="73" fillId="2" borderId="57" xfId="0" applyNumberFormat="1" applyFont="1" applyFill="1" applyBorder="1" applyProtection="1">
      <protection hidden="1"/>
    </xf>
    <xf numFmtId="172" fontId="73" fillId="2" borderId="26" xfId="3" applyNumberFormat="1" applyFont="1" applyFill="1" applyBorder="1" applyAlignment="1" applyProtection="1">
      <alignment horizontal="center"/>
      <protection hidden="1"/>
    </xf>
    <xf numFmtId="172" fontId="73" fillId="2" borderId="0" xfId="3" applyNumberFormat="1" applyFont="1" applyFill="1" applyAlignment="1" applyProtection="1">
      <alignment horizontal="center"/>
      <protection hidden="1"/>
    </xf>
    <xf numFmtId="0" fontId="73" fillId="2" borderId="30" xfId="3" applyFont="1" applyFill="1" applyBorder="1" applyAlignment="1" applyProtection="1">
      <alignment horizontal="center"/>
      <protection hidden="1"/>
    </xf>
    <xf numFmtId="0" fontId="73" fillId="2" borderId="24" xfId="3" applyFont="1" applyFill="1" applyBorder="1" applyAlignment="1" applyProtection="1">
      <alignment horizontal="center"/>
      <protection hidden="1"/>
    </xf>
    <xf numFmtId="0" fontId="73" fillId="2" borderId="28" xfId="3" applyFont="1" applyFill="1" applyBorder="1" applyAlignment="1" applyProtection="1">
      <alignment horizontal="center"/>
      <protection hidden="1"/>
    </xf>
    <xf numFmtId="2" fontId="73" fillId="2" borderId="0" xfId="3" applyNumberFormat="1" applyFont="1" applyFill="1" applyProtection="1">
      <protection hidden="1"/>
    </xf>
    <xf numFmtId="0" fontId="73" fillId="2" borderId="21" xfId="3" applyFont="1" applyFill="1" applyBorder="1" applyAlignment="1" applyProtection="1">
      <alignment horizontal="center"/>
      <protection hidden="1"/>
    </xf>
    <xf numFmtId="0" fontId="73" fillId="2" borderId="22" xfId="3" applyFont="1" applyFill="1" applyBorder="1" applyAlignment="1" applyProtection="1">
      <alignment horizontal="center"/>
      <protection hidden="1"/>
    </xf>
    <xf numFmtId="180" fontId="73" fillId="2" borderId="26" xfId="3" applyNumberFormat="1" applyFont="1" applyFill="1" applyBorder="1" applyAlignment="1" applyProtection="1">
      <alignment horizontal="center"/>
      <protection hidden="1"/>
    </xf>
    <xf numFmtId="0" fontId="75" fillId="2" borderId="10" xfId="3" applyFont="1" applyFill="1" applyBorder="1" applyAlignment="1" applyProtection="1">
      <alignment horizontal="center"/>
      <protection hidden="1"/>
    </xf>
    <xf numFmtId="172" fontId="73" fillId="2" borderId="0" xfId="3" applyNumberFormat="1" applyFont="1" applyFill="1" applyProtection="1">
      <protection hidden="1"/>
    </xf>
    <xf numFmtId="0" fontId="22" fillId="0" borderId="1" xfId="0" applyFont="1" applyBorder="1" applyAlignment="1" applyProtection="1">
      <alignment horizontal="center" vertical="center"/>
      <protection locked="0"/>
    </xf>
    <xf numFmtId="2" fontId="4" fillId="0" borderId="1" xfId="3" applyNumberFormat="1" applyBorder="1" applyAlignment="1">
      <alignment horizontal="center"/>
    </xf>
    <xf numFmtId="0" fontId="22" fillId="0" borderId="1" xfId="0" applyFont="1" applyBorder="1" applyAlignment="1" applyProtection="1">
      <alignment horizontal="center"/>
      <protection locked="0"/>
    </xf>
    <xf numFmtId="2" fontId="22" fillId="0" borderId="1" xfId="0" applyNumberFormat="1" applyFont="1" applyBorder="1" applyAlignment="1" applyProtection="1">
      <alignment horizontal="center"/>
      <protection locked="0"/>
    </xf>
    <xf numFmtId="2" fontId="4" fillId="0" borderId="1" xfId="3" applyNumberFormat="1" applyBorder="1" applyAlignment="1" applyProtection="1">
      <alignment horizontal="center"/>
      <protection hidden="1"/>
    </xf>
    <xf numFmtId="2" fontId="4" fillId="0" borderId="1" xfId="0" applyNumberFormat="1" applyFont="1" applyBorder="1" applyAlignment="1">
      <alignment horizontal="center"/>
    </xf>
    <xf numFmtId="179" fontId="4" fillId="2" borderId="1" xfId="3" applyNumberFormat="1" applyFill="1" applyBorder="1" applyAlignment="1">
      <alignment horizontal="center"/>
    </xf>
    <xf numFmtId="0" fontId="4" fillId="2" borderId="36" xfId="0" applyFont="1" applyFill="1" applyBorder="1" applyAlignment="1">
      <alignment horizontal="left" vertical="center" wrapText="1"/>
    </xf>
    <xf numFmtId="172" fontId="4" fillId="5" borderId="40" xfId="3" applyNumberFormat="1" applyFill="1" applyBorder="1" applyAlignment="1">
      <alignment horizontal="center" vertical="center"/>
    </xf>
    <xf numFmtId="1" fontId="4" fillId="2" borderId="34" xfId="3" quotePrefix="1" applyNumberFormat="1" applyFill="1" applyBorder="1" applyAlignment="1" applyProtection="1">
      <alignment horizontal="center" vertical="center"/>
      <protection locked="0"/>
    </xf>
    <xf numFmtId="172" fontId="4" fillId="5" borderId="58" xfId="3" applyNumberForma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vertical="center"/>
      <protection hidden="1"/>
    </xf>
    <xf numFmtId="172" fontId="4" fillId="2" borderId="0" xfId="0" applyNumberFormat="1" applyFont="1" applyFill="1" applyAlignment="1">
      <alignment horizontal="center" vertical="center"/>
    </xf>
    <xf numFmtId="2" fontId="4" fillId="2" borderId="46" xfId="0" applyNumberFormat="1" applyFont="1" applyFill="1" applyBorder="1" applyAlignment="1">
      <alignment horizontal="center" vertical="center"/>
    </xf>
    <xf numFmtId="2" fontId="4" fillId="0" borderId="36" xfId="0" applyNumberFormat="1" applyFont="1" applyBorder="1" applyAlignment="1" applyProtection="1">
      <alignment horizontal="center" vertical="center"/>
      <protection locked="0"/>
    </xf>
    <xf numFmtId="1" fontId="4" fillId="0" borderId="43" xfId="3" quotePrefix="1" applyNumberFormat="1" applyBorder="1" applyAlignment="1" applyProtection="1">
      <alignment horizontal="center" vertical="center"/>
      <protection locked="0"/>
    </xf>
    <xf numFmtId="172" fontId="4" fillId="0" borderId="37" xfId="3" applyNumberFormat="1" applyBorder="1" applyAlignment="1" applyProtection="1">
      <alignment horizontal="center" vertical="center" wrapText="1"/>
      <protection hidden="1"/>
    </xf>
    <xf numFmtId="179" fontId="4" fillId="0" borderId="37" xfId="0" quotePrefix="1" applyNumberFormat="1" applyFont="1" applyBorder="1" applyAlignment="1" applyProtection="1">
      <alignment horizontal="center" vertical="center"/>
      <protection hidden="1"/>
    </xf>
    <xf numFmtId="2" fontId="4" fillId="0" borderId="37" xfId="3" quotePrefix="1" applyNumberFormat="1" applyBorder="1" applyAlignment="1" applyProtection="1">
      <alignment horizontal="center" vertical="center"/>
      <protection hidden="1"/>
    </xf>
    <xf numFmtId="11" fontId="4" fillId="0" borderId="38" xfId="3" applyNumberFormat="1" applyBorder="1" applyAlignment="1">
      <alignment horizontal="center" vertical="center"/>
    </xf>
    <xf numFmtId="1" fontId="4" fillId="0" borderId="37" xfId="0" quotePrefix="1" applyNumberFormat="1" applyFont="1" applyBorder="1" applyAlignment="1" applyProtection="1">
      <alignment horizontal="center" vertical="center"/>
      <protection hidden="1"/>
    </xf>
    <xf numFmtId="0" fontId="9" fillId="0" borderId="1" xfId="0" applyFont="1" applyBorder="1"/>
    <xf numFmtId="0" fontId="76" fillId="0" borderId="1" xfId="0" applyFont="1" applyBorder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66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/>
    </xf>
    <xf numFmtId="0" fontId="0" fillId="0" borderId="0" xfId="0" applyAlignment="1">
      <alignment vertical="center"/>
    </xf>
    <xf numFmtId="0" fontId="4" fillId="2" borderId="43" xfId="3" applyFill="1" applyBorder="1" applyAlignment="1">
      <alignment vertical="center"/>
    </xf>
    <xf numFmtId="0" fontId="4" fillId="5" borderId="37" xfId="3" applyFill="1" applyBorder="1" applyAlignment="1">
      <alignment vertical="center"/>
    </xf>
    <xf numFmtId="0" fontId="16" fillId="2" borderId="0" xfId="3" applyFont="1" applyFill="1" applyAlignment="1">
      <alignment vertical="center"/>
    </xf>
    <xf numFmtId="0" fontId="4" fillId="2" borderId="37" xfId="3" applyFill="1" applyBorder="1" applyAlignment="1">
      <alignment vertical="center"/>
    </xf>
    <xf numFmtId="0" fontId="0" fillId="2" borderId="0" xfId="0" applyFill="1" applyAlignment="1" applyProtection="1">
      <alignment vertical="center"/>
      <protection hidden="1"/>
    </xf>
    <xf numFmtId="0" fontId="4" fillId="5" borderId="37" xfId="3" applyFill="1" applyBorder="1" applyAlignment="1">
      <alignment horizontal="center" vertical="center"/>
    </xf>
    <xf numFmtId="0" fontId="4" fillId="2" borderId="37" xfId="3" applyFill="1" applyBorder="1" applyAlignment="1">
      <alignment horizontal="center" vertical="center"/>
    </xf>
    <xf numFmtId="179" fontId="4" fillId="2" borderId="37" xfId="3" applyNumberFormat="1" applyFill="1" applyBorder="1" applyAlignment="1">
      <alignment horizontal="center" vertical="center"/>
    </xf>
    <xf numFmtId="0" fontId="16" fillId="2" borderId="45" xfId="3" applyFont="1" applyFill="1" applyBorder="1" applyAlignment="1">
      <alignment vertical="center"/>
    </xf>
    <xf numFmtId="0" fontId="4" fillId="2" borderId="46" xfId="3" applyFill="1" applyBorder="1" applyAlignment="1">
      <alignment vertical="center"/>
    </xf>
    <xf numFmtId="172" fontId="16" fillId="2" borderId="0" xfId="3" applyNumberFormat="1" applyFont="1" applyFill="1" applyAlignment="1">
      <alignment vertical="center"/>
    </xf>
    <xf numFmtId="0" fontId="4" fillId="2" borderId="34" xfId="3" applyFill="1" applyBorder="1" applyAlignment="1">
      <alignment vertical="center"/>
    </xf>
    <xf numFmtId="172" fontId="5" fillId="2" borderId="0" xfId="0" applyNumberFormat="1" applyFont="1" applyFill="1" applyAlignment="1" applyProtection="1">
      <alignment vertical="center"/>
      <protection hidden="1"/>
    </xf>
    <xf numFmtId="0" fontId="16" fillId="2" borderId="0" xfId="3" applyFont="1" applyFill="1" applyAlignment="1" applyProtection="1">
      <alignment horizontal="right" vertical="center"/>
      <protection hidden="1"/>
    </xf>
    <xf numFmtId="178" fontId="5" fillId="2" borderId="0" xfId="3" applyNumberFormat="1" applyFont="1" applyFill="1" applyAlignment="1">
      <alignment horizontal="center" vertical="center"/>
    </xf>
    <xf numFmtId="2" fontId="5" fillId="2" borderId="0" xfId="3" applyNumberFormat="1" applyFont="1" applyFill="1" applyAlignment="1">
      <alignment horizontal="center" vertical="center"/>
    </xf>
    <xf numFmtId="11" fontId="4" fillId="2" borderId="0" xfId="3" applyNumberFormat="1" applyFill="1" applyAlignment="1">
      <alignment vertical="center"/>
    </xf>
    <xf numFmtId="2" fontId="16" fillId="2" borderId="1" xfId="3" applyNumberFormat="1" applyFont="1" applyFill="1" applyBorder="1" applyAlignment="1" applyProtection="1">
      <alignment horizontal="right" vertical="center"/>
      <protection hidden="1"/>
    </xf>
    <xf numFmtId="0" fontId="4" fillId="2" borderId="1" xfId="3" applyFill="1" applyBorder="1" applyAlignment="1">
      <alignment vertical="center"/>
    </xf>
    <xf numFmtId="184" fontId="27" fillId="2" borderId="1" xfId="3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 vertical="center"/>
    </xf>
    <xf numFmtId="0" fontId="4" fillId="0" borderId="37" xfId="3" applyBorder="1" applyAlignment="1">
      <alignment vertical="center"/>
    </xf>
    <xf numFmtId="0" fontId="55" fillId="2" borderId="11" xfId="3" applyFont="1" applyFill="1" applyBorder="1" applyAlignment="1">
      <alignment horizontal="left" vertical="center" indent="1"/>
    </xf>
    <xf numFmtId="0" fontId="4" fillId="2" borderId="11" xfId="3" applyFill="1" applyBorder="1" applyAlignment="1">
      <alignment horizontal="left" vertical="center" indent="1"/>
    </xf>
    <xf numFmtId="0" fontId="4" fillId="2" borderId="12" xfId="3" applyFill="1" applyBorder="1" applyAlignment="1">
      <alignment horizontal="left" vertical="center" indent="1"/>
    </xf>
    <xf numFmtId="0" fontId="40" fillId="0" borderId="0" xfId="3" applyFont="1"/>
    <xf numFmtId="0" fontId="21" fillId="2" borderId="1" xfId="3" applyFont="1" applyFill="1" applyBorder="1" applyAlignment="1" applyProtection="1">
      <alignment horizontal="center" vertical="center"/>
      <protection locked="0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1" fontId="22" fillId="0" borderId="0" xfId="0" applyNumberFormat="1" applyFont="1"/>
    <xf numFmtId="0" fontId="27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30" fillId="0" borderId="11" xfId="0" applyFont="1" applyBorder="1"/>
    <xf numFmtId="164" fontId="23" fillId="0" borderId="12" xfId="0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73" fontId="68" fillId="2" borderId="1" xfId="3" applyNumberFormat="1" applyFont="1" applyFill="1" applyBorder="1" applyAlignment="1" applyProtection="1">
      <alignment horizontal="center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1" fontId="4" fillId="2" borderId="0" xfId="3" applyNumberFormat="1" applyFill="1" applyAlignment="1">
      <alignment horizontal="left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2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11" fillId="0" borderId="0" xfId="2" applyFont="1" applyAlignment="1" applyProtection="1">
      <alignment horizontal="center" vertical="center"/>
      <protection locked="0"/>
    </xf>
    <xf numFmtId="186" fontId="11" fillId="0" borderId="7" xfId="0" applyNumberFormat="1" applyFont="1" applyBorder="1" applyAlignment="1" applyProtection="1">
      <alignment horizontal="left" vertical="center"/>
      <protection locked="0"/>
    </xf>
    <xf numFmtId="11" fontId="4" fillId="2" borderId="0" xfId="3" applyNumberFormat="1" applyFill="1" applyAlignment="1">
      <alignment horizontal="center"/>
    </xf>
    <xf numFmtId="0" fontId="63" fillId="6" borderId="1" xfId="3" applyFont="1" applyFill="1" applyBorder="1" applyAlignment="1" applyProtection="1">
      <alignment horizontal="center" vertical="center"/>
      <protection locked="0"/>
    </xf>
    <xf numFmtId="2" fontId="78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0" borderId="12" xfId="0" applyFont="1" applyBorder="1" applyAlignment="1" applyProtection="1">
      <alignment horizontal="center" vertical="center"/>
      <protection locked="0"/>
    </xf>
    <xf numFmtId="0" fontId="22" fillId="2" borderId="0" xfId="10" applyFont="1" applyFill="1" applyAlignment="1">
      <alignment horizontal="center" vertical="center"/>
    </xf>
    <xf numFmtId="2" fontId="22" fillId="2" borderId="0" xfId="10" applyNumberFormat="1" applyFont="1" applyFill="1" applyAlignment="1">
      <alignment horizontal="center" vertical="center"/>
    </xf>
    <xf numFmtId="17" fontId="4" fillId="2" borderId="0" xfId="0" applyNumberFormat="1" applyFont="1" applyFill="1" applyAlignment="1">
      <alignment horizontal="center"/>
    </xf>
    <xf numFmtId="188" fontId="11" fillId="0" borderId="7" xfId="0" applyNumberFormat="1" applyFont="1" applyBorder="1" applyAlignment="1" applyProtection="1">
      <alignment horizontal="left" vertical="center"/>
      <protection locked="0"/>
    </xf>
    <xf numFmtId="189" fontId="11" fillId="0" borderId="0" xfId="0" applyNumberFormat="1" applyFont="1" applyAlignment="1" applyProtection="1">
      <alignment horizontal="left" vertical="center"/>
      <protection locked="0"/>
    </xf>
    <xf numFmtId="2" fontId="23" fillId="0" borderId="59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4" fontId="31" fillId="5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61" xfId="0" applyFont="1" applyFill="1" applyBorder="1" applyAlignment="1">
      <alignment vertical="center"/>
    </xf>
    <xf numFmtId="0" fontId="5" fillId="2" borderId="62" xfId="0" applyFont="1" applyFill="1" applyBorder="1" applyAlignment="1">
      <alignment vertical="center"/>
    </xf>
    <xf numFmtId="0" fontId="15" fillId="2" borderId="62" xfId="0" applyFont="1" applyFill="1" applyBorder="1" applyAlignment="1">
      <alignment vertical="center"/>
    </xf>
    <xf numFmtId="0" fontId="22" fillId="2" borderId="62" xfId="0" applyFont="1" applyFill="1" applyBorder="1" applyProtection="1">
      <protection hidden="1"/>
    </xf>
    <xf numFmtId="0" fontId="22" fillId="2" borderId="63" xfId="0" applyFont="1" applyFill="1" applyBorder="1" applyProtection="1">
      <protection hidden="1"/>
    </xf>
    <xf numFmtId="0" fontId="22" fillId="2" borderId="0" xfId="0" applyFont="1" applyFill="1" applyProtection="1">
      <protection hidden="1"/>
    </xf>
    <xf numFmtId="0" fontId="5" fillId="2" borderId="6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65" xfId="0" applyFont="1" applyFill="1" applyBorder="1" applyProtection="1">
      <protection hidden="1"/>
    </xf>
    <xf numFmtId="0" fontId="53" fillId="2" borderId="66" xfId="0" applyFont="1" applyFill="1" applyBorder="1" applyAlignment="1">
      <alignment vertical="center"/>
    </xf>
    <xf numFmtId="0" fontId="53" fillId="2" borderId="67" xfId="0" applyFont="1" applyFill="1" applyBorder="1" applyAlignment="1">
      <alignment vertical="center"/>
    </xf>
    <xf numFmtId="0" fontId="53" fillId="2" borderId="68" xfId="0" applyFont="1" applyFill="1" applyBorder="1" applyAlignment="1">
      <alignment vertical="center"/>
    </xf>
    <xf numFmtId="0" fontId="53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21" fillId="2" borderId="0" xfId="2" applyFont="1" applyFill="1" applyAlignment="1">
      <alignment horizontal="right" vertical="center"/>
    </xf>
    <xf numFmtId="0" fontId="21" fillId="2" borderId="3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0" fontId="21" fillId="2" borderId="3" xfId="2" applyFont="1" applyFill="1" applyBorder="1" applyAlignment="1">
      <alignment horizontal="right" vertical="center"/>
    </xf>
    <xf numFmtId="0" fontId="50" fillId="2" borderId="0" xfId="0" applyFont="1" applyFill="1" applyAlignment="1">
      <alignment vertical="center"/>
    </xf>
    <xf numFmtId="0" fontId="16" fillId="2" borderId="10" xfId="4" applyFont="1" applyFill="1" applyBorder="1" applyAlignment="1">
      <alignment horizontal="left" vertical="center" indent="1"/>
    </xf>
    <xf numFmtId="0" fontId="16" fillId="2" borderId="11" xfId="4" applyFont="1" applyFill="1" applyBorder="1" applyAlignment="1" applyProtection="1">
      <alignment vertical="center"/>
      <protection hidden="1"/>
    </xf>
    <xf numFmtId="0" fontId="16" fillId="2" borderId="12" xfId="4" applyFont="1" applyFill="1" applyBorder="1" applyAlignment="1" applyProtection="1">
      <alignment vertical="center"/>
      <protection hidden="1"/>
    </xf>
    <xf numFmtId="0" fontId="16" fillId="2" borderId="6" xfId="0" applyFont="1" applyFill="1" applyBorder="1" applyAlignment="1" applyProtection="1">
      <alignment horizontal="left" vertical="center"/>
      <protection hidden="1"/>
    </xf>
    <xf numFmtId="0" fontId="16" fillId="2" borderId="0" xfId="4" applyFont="1" applyFill="1" applyAlignment="1">
      <alignment horizontal="left" vertical="center" indent="1"/>
    </xf>
    <xf numFmtId="0" fontId="16" fillId="2" borderId="4" xfId="4" applyFont="1" applyFill="1" applyBorder="1" applyAlignment="1">
      <alignment horizontal="left" vertical="center" indent="1"/>
    </xf>
    <xf numFmtId="0" fontId="16" fillId="2" borderId="3" xfId="4" applyFont="1" applyFill="1" applyBorder="1" applyAlignment="1" applyProtection="1">
      <alignment vertical="center"/>
      <protection hidden="1"/>
    </xf>
    <xf numFmtId="0" fontId="16" fillId="2" borderId="5" xfId="4" applyFont="1" applyFill="1" applyBorder="1" applyAlignment="1" applyProtection="1">
      <alignment vertical="center"/>
      <protection hidden="1"/>
    </xf>
    <xf numFmtId="0" fontId="16" fillId="2" borderId="6" xfId="4" applyFont="1" applyFill="1" applyBorder="1" applyAlignment="1">
      <alignment horizontal="left" vertical="center" indent="1"/>
    </xf>
    <xf numFmtId="0" fontId="16" fillId="2" borderId="0" xfId="4" applyFont="1" applyFill="1" applyAlignment="1" applyProtection="1">
      <alignment vertical="center"/>
      <protection hidden="1"/>
    </xf>
    <xf numFmtId="0" fontId="16" fillId="2" borderId="7" xfId="4" applyFont="1" applyFill="1" applyBorder="1" applyAlignment="1" applyProtection="1">
      <alignment vertical="center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6" fillId="2" borderId="1" xfId="4" applyFont="1" applyFill="1" applyBorder="1" applyAlignment="1">
      <alignment horizontal="left" vertical="center"/>
    </xf>
    <xf numFmtId="0" fontId="16" fillId="2" borderId="3" xfId="4" applyFont="1" applyFill="1" applyBorder="1" applyAlignment="1" applyProtection="1">
      <alignment horizontal="left" vertical="center"/>
      <protection hidden="1"/>
    </xf>
    <xf numFmtId="0" fontId="16" fillId="2" borderId="1" xfId="4" applyFont="1" applyFill="1" applyBorder="1" applyAlignment="1" applyProtection="1">
      <alignment horizontal="left" vertical="center"/>
      <protection hidden="1"/>
    </xf>
    <xf numFmtId="0" fontId="16" fillId="2" borderId="3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2" xfId="4" applyFont="1" applyFill="1" applyBorder="1" applyAlignment="1" applyProtection="1">
      <alignment horizontal="left" vertical="center"/>
      <protection hidden="1"/>
    </xf>
    <xf numFmtId="0" fontId="16" fillId="2" borderId="0" xfId="4" applyFont="1" applyFill="1" applyAlignment="1" applyProtection="1">
      <alignment horizontal="left" vertical="center"/>
      <protection hidden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horizontal="center"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16" fillId="2" borderId="10" xfId="2" applyFont="1" applyFill="1" applyBorder="1" applyAlignment="1">
      <alignment horizontal="left" vertical="center" indent="1"/>
    </xf>
    <xf numFmtId="0" fontId="22" fillId="2" borderId="11" xfId="0" applyFont="1" applyFill="1" applyBorder="1" applyProtection="1">
      <protection hidden="1"/>
    </xf>
    <xf numFmtId="0" fontId="16" fillId="2" borderId="11" xfId="2" applyFont="1" applyFill="1" applyBorder="1" applyAlignment="1">
      <alignment horizontal="left" vertical="center" indent="1"/>
    </xf>
    <xf numFmtId="0" fontId="11" fillId="2" borderId="11" xfId="2" applyFont="1" applyFill="1" applyBorder="1" applyAlignment="1">
      <alignment vertical="center" wrapText="1"/>
    </xf>
    <xf numFmtId="0" fontId="11" fillId="2" borderId="12" xfId="2" applyFont="1" applyFill="1" applyBorder="1" applyAlignment="1">
      <alignment vertical="center" wrapText="1"/>
    </xf>
    <xf numFmtId="0" fontId="16" fillId="2" borderId="10" xfId="0" applyFont="1" applyFill="1" applyBorder="1" applyAlignment="1">
      <alignment horizontal="center" vertical="center"/>
    </xf>
    <xf numFmtId="0" fontId="22" fillId="2" borderId="1" xfId="0" applyFont="1" applyFill="1" applyBorder="1" applyAlignment="1" applyProtection="1">
      <alignment horizontal="center"/>
      <protection locked="0"/>
    </xf>
    <xf numFmtId="0" fontId="16" fillId="2" borderId="6" xfId="2" applyFont="1" applyFill="1" applyBorder="1" applyAlignment="1">
      <alignment horizontal="left" vertical="center" indent="1"/>
    </xf>
    <xf numFmtId="0" fontId="16" fillId="2" borderId="0" xfId="2" applyFont="1" applyFill="1" applyAlignment="1">
      <alignment horizontal="left" vertical="center" indent="1"/>
    </xf>
    <xf numFmtId="0" fontId="11" fillId="2" borderId="0" xfId="2" applyFont="1" applyFill="1" applyAlignment="1">
      <alignment vertical="center" wrapText="1"/>
    </xf>
    <xf numFmtId="0" fontId="11" fillId="2" borderId="7" xfId="2" applyFont="1" applyFill="1" applyBorder="1" applyAlignment="1">
      <alignment vertical="center" wrapText="1"/>
    </xf>
    <xf numFmtId="2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 applyProtection="1">
      <alignment vertical="center"/>
      <protection hidden="1"/>
    </xf>
    <xf numFmtId="0" fontId="16" fillId="2" borderId="11" xfId="2" applyFont="1" applyFill="1" applyBorder="1" applyAlignment="1">
      <alignment vertical="center" wrapText="1"/>
    </xf>
    <xf numFmtId="0" fontId="16" fillId="2" borderId="8" xfId="2" applyFont="1" applyFill="1" applyBorder="1" applyAlignment="1">
      <alignment horizontal="left" vertical="center" indent="1"/>
    </xf>
    <xf numFmtId="0" fontId="22" fillId="2" borderId="2" xfId="0" applyFont="1" applyFill="1" applyBorder="1" applyProtection="1">
      <protection hidden="1"/>
    </xf>
    <xf numFmtId="0" fontId="16" fillId="2" borderId="2" xfId="2" applyFont="1" applyFill="1" applyBorder="1" applyAlignment="1">
      <alignment horizontal="left" vertical="center" indent="1"/>
    </xf>
    <xf numFmtId="0" fontId="11" fillId="2" borderId="2" xfId="2" applyFont="1" applyFill="1" applyBorder="1" applyAlignment="1">
      <alignment horizontal="left" vertical="center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locked="0"/>
    </xf>
    <xf numFmtId="0" fontId="27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hidden="1"/>
    </xf>
    <xf numFmtId="3" fontId="16" fillId="2" borderId="0" xfId="0" applyNumberFormat="1" applyFont="1" applyFill="1" applyAlignment="1">
      <alignment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167" fontId="16" fillId="2" borderId="12" xfId="0" quotePrefix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center" vertical="center"/>
    </xf>
    <xf numFmtId="170" fontId="16" fillId="2" borderId="0" xfId="0" applyNumberFormat="1" applyFont="1" applyFill="1" applyAlignment="1">
      <alignment vertical="center" wrapText="1"/>
    </xf>
    <xf numFmtId="2" fontId="16" fillId="2" borderId="1" xfId="0" applyNumberFormat="1" applyFont="1" applyFill="1" applyBorder="1" applyAlignment="1">
      <alignment horizontal="center" vertical="center"/>
    </xf>
    <xf numFmtId="2" fontId="16" fillId="2" borderId="10" xfId="0" applyNumberFormat="1" applyFont="1" applyFill="1" applyBorder="1" applyAlignment="1">
      <alignment horizontal="center" vertical="center"/>
    </xf>
    <xf numFmtId="0" fontId="22" fillId="2" borderId="18" xfId="0" quotePrefix="1" applyFont="1" applyFill="1" applyBorder="1" applyAlignment="1" applyProtection="1">
      <alignment horizontal="center" vertical="center"/>
      <protection hidden="1"/>
    </xf>
    <xf numFmtId="0" fontId="22" fillId="2" borderId="1" xfId="0" quotePrefix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2" fontId="16" fillId="2" borderId="17" xfId="0" applyNumberFormat="1" applyFont="1" applyFill="1" applyBorder="1" applyAlignment="1">
      <alignment horizontal="center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164" fontId="16" fillId="2" borderId="1" xfId="0" applyNumberFormat="1" applyFont="1" applyFill="1" applyBorder="1" applyAlignment="1" applyProtection="1">
      <alignment horizontal="center" vertical="center"/>
      <protection locked="0"/>
    </xf>
    <xf numFmtId="1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7" xfId="0" applyFont="1" applyFill="1" applyBorder="1" applyProtection="1">
      <protection hidden="1"/>
    </xf>
    <xf numFmtId="0" fontId="5" fillId="2" borderId="4" xfId="0" applyFont="1" applyFill="1" applyBorder="1" applyAlignment="1" applyProtection="1">
      <alignment horizontal="left" vertical="center"/>
      <protection hidden="1"/>
    </xf>
    <xf numFmtId="0" fontId="5" fillId="2" borderId="3" xfId="0" applyFont="1" applyFill="1" applyBorder="1" applyAlignment="1" applyProtection="1">
      <alignment horizontal="left" vertical="center"/>
      <protection hidden="1"/>
    </xf>
    <xf numFmtId="0" fontId="22" fillId="2" borderId="3" xfId="0" applyFont="1" applyFill="1" applyBorder="1" applyProtection="1">
      <protection hidden="1"/>
    </xf>
    <xf numFmtId="0" fontId="22" fillId="2" borderId="5" xfId="0" applyFont="1" applyFill="1" applyBorder="1" applyProtection="1">
      <protection hidden="1"/>
    </xf>
    <xf numFmtId="0" fontId="11" fillId="2" borderId="10" xfId="0" applyFont="1" applyFill="1" applyBorder="1" applyAlignment="1" applyProtection="1">
      <alignment horizontal="left" vertical="center"/>
      <protection hidden="1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22" fillId="2" borderId="8" xfId="0" applyFont="1" applyFill="1" applyBorder="1" applyProtection="1">
      <protection hidden="1"/>
    </xf>
    <xf numFmtId="0" fontId="22" fillId="2" borderId="9" xfId="0" applyFont="1" applyFill="1" applyBorder="1" applyProtection="1">
      <protection hidden="1"/>
    </xf>
    <xf numFmtId="0" fontId="22" fillId="2" borderId="6" xfId="0" applyFont="1" applyFill="1" applyBorder="1" applyProtection="1">
      <protection hidden="1"/>
    </xf>
    <xf numFmtId="0" fontId="11" fillId="2" borderId="3" xfId="0" applyFont="1" applyFill="1" applyBorder="1" applyAlignment="1" applyProtection="1">
      <alignment horizontal="left"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16" fontId="7" fillId="0" borderId="0" xfId="0" applyNumberFormat="1" applyFont="1" applyProtection="1">
      <protection locked="0"/>
    </xf>
    <xf numFmtId="0" fontId="4" fillId="2" borderId="20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3" xfId="2" applyFont="1" applyFill="1" applyBorder="1" applyAlignment="1">
      <alignment horizontal="left" vertical="center" indent="1"/>
    </xf>
    <xf numFmtId="0" fontId="5" fillId="2" borderId="0" xfId="3" applyFont="1" applyFill="1" applyAlignment="1">
      <alignment horizontal="left"/>
    </xf>
    <xf numFmtId="186" fontId="4" fillId="2" borderId="0" xfId="3" applyNumberFormat="1" applyFill="1" applyAlignment="1">
      <alignment horizontal="center" vertical="center"/>
    </xf>
    <xf numFmtId="186" fontId="51" fillId="2" borderId="1" xfId="6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11" fillId="0" borderId="0" xfId="0" applyFont="1" applyAlignment="1" applyProtection="1">
      <alignment vertical="center" wrapText="1"/>
      <protection locked="0"/>
    </xf>
    <xf numFmtId="167" fontId="23" fillId="0" borderId="10" xfId="0" quotePrefix="1" applyNumberFormat="1" applyFont="1" applyBorder="1" applyAlignment="1">
      <alignment horizontal="left" vertical="center" wrapText="1"/>
    </xf>
    <xf numFmtId="167" fontId="23" fillId="0" borderId="12" xfId="0" quotePrefix="1" applyNumberFormat="1" applyFont="1" applyBorder="1" applyAlignment="1">
      <alignment horizontal="left" vertical="center" wrapText="1"/>
    </xf>
    <xf numFmtId="0" fontId="41" fillId="0" borderId="0" xfId="4" applyFont="1" applyAlignment="1" applyProtection="1">
      <alignment horizontal="left" vertical="center" wrapText="1"/>
      <protection hidden="1"/>
    </xf>
    <xf numFmtId="0" fontId="42" fillId="0" borderId="0" xfId="4" applyFont="1" applyAlignment="1">
      <alignment horizontal="center" vertical="center"/>
    </xf>
    <xf numFmtId="0" fontId="46" fillId="0" borderId="0" xfId="4" applyFont="1" applyAlignment="1" applyProtection="1">
      <alignment horizontal="left" vertical="center" wrapText="1"/>
      <protection hidden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8" fillId="2" borderId="0" xfId="4" applyFont="1" applyFill="1" applyAlignment="1" applyProtection="1">
      <alignment horizontal="left" vertical="center" wrapText="1"/>
      <protection hidden="1"/>
    </xf>
    <xf numFmtId="167" fontId="16" fillId="0" borderId="10" xfId="0" quotePrefix="1" applyNumberFormat="1" applyFont="1" applyBorder="1" applyAlignment="1">
      <alignment horizontal="left" vertical="center"/>
    </xf>
    <xf numFmtId="167" fontId="16" fillId="0" borderId="11" xfId="0" quotePrefix="1" applyNumberFormat="1" applyFont="1" applyBorder="1" applyAlignment="1">
      <alignment horizontal="left" vertical="center"/>
    </xf>
    <xf numFmtId="167" fontId="16" fillId="0" borderId="12" xfId="0" quotePrefix="1" applyNumberFormat="1" applyFont="1" applyBorder="1" applyAlignment="1">
      <alignment horizontal="left" vertical="center"/>
    </xf>
    <xf numFmtId="167" fontId="27" fillId="0" borderId="10" xfId="0" quotePrefix="1" applyNumberFormat="1" applyFont="1" applyBorder="1" applyAlignment="1">
      <alignment horizontal="left" vertical="center"/>
    </xf>
    <xf numFmtId="167" fontId="27" fillId="0" borderId="11" xfId="0" quotePrefix="1" applyNumberFormat="1" applyFont="1" applyBorder="1" applyAlignment="1">
      <alignment horizontal="left" vertical="center"/>
    </xf>
    <xf numFmtId="167" fontId="27" fillId="0" borderId="12" xfId="0" quotePrefix="1" applyNumberFormat="1" applyFont="1" applyBorder="1" applyAlignment="1">
      <alignment horizontal="left" vertical="center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177" fontId="25" fillId="0" borderId="0" xfId="0" applyNumberFormat="1" applyFont="1" applyAlignment="1" applyProtection="1">
      <alignment horizontal="center"/>
      <protection hidden="1"/>
    </xf>
    <xf numFmtId="0" fontId="24" fillId="0" borderId="4" xfId="2" applyFont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4" fillId="0" borderId="6" xfId="2" applyFont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7" fontId="34" fillId="0" borderId="10" xfId="0" quotePrefix="1" applyNumberFormat="1" applyFont="1" applyBorder="1" applyAlignment="1">
      <alignment horizontal="center" vertical="center" wrapText="1"/>
    </xf>
    <xf numFmtId="167" fontId="34" fillId="0" borderId="11" xfId="0" quotePrefix="1" applyNumberFormat="1" applyFont="1" applyBorder="1" applyAlignment="1">
      <alignment horizontal="center" vertical="center" wrapText="1"/>
    </xf>
    <xf numFmtId="167" fontId="34" fillId="0" borderId="17" xfId="0" quotePrefix="1" applyNumberFormat="1" applyFont="1" applyBorder="1" applyAlignment="1">
      <alignment horizontal="center" vertical="center" wrapText="1"/>
    </xf>
    <xf numFmtId="167" fontId="34" fillId="0" borderId="1" xfId="0" quotePrefix="1" applyNumberFormat="1" applyFont="1" applyBorder="1" applyAlignment="1">
      <alignment horizontal="center" vertical="center" wrapText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170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67" fontId="28" fillId="0" borderId="10" xfId="0" quotePrefix="1" applyNumberFormat="1" applyFont="1" applyBorder="1" applyAlignment="1">
      <alignment horizontal="center" vertical="center" wrapText="1"/>
    </xf>
    <xf numFmtId="167" fontId="28" fillId="0" borderId="12" xfId="0" quotePrefix="1" applyNumberFormat="1" applyFont="1" applyBorder="1" applyAlignment="1">
      <alignment horizontal="center" vertical="center" wrapText="1"/>
    </xf>
    <xf numFmtId="167" fontId="28" fillId="0" borderId="11" xfId="0" quotePrefix="1" applyNumberFormat="1" applyFont="1" applyBorder="1" applyAlignment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6" fillId="2" borderId="0" xfId="13" applyFont="1" applyFill="1" applyBorder="1" applyAlignment="1" applyProtection="1">
      <alignment horizontal="center" vertical="center" wrapText="1"/>
    </xf>
    <xf numFmtId="0" fontId="27" fillId="2" borderId="10" xfId="0" applyFont="1" applyFill="1" applyBorder="1" applyAlignment="1" applyProtection="1">
      <alignment horizontal="center" vertical="center"/>
      <protection hidden="1"/>
    </xf>
    <xf numFmtId="0" fontId="27" fillId="2" borderId="12" xfId="0" applyFont="1" applyFill="1" applyBorder="1" applyAlignment="1" applyProtection="1">
      <alignment horizontal="center" vertical="center"/>
      <protection hidden="1"/>
    </xf>
    <xf numFmtId="0" fontId="27" fillId="2" borderId="1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2" fontId="16" fillId="2" borderId="10" xfId="0" applyNumberFormat="1" applyFont="1" applyFill="1" applyBorder="1" applyAlignment="1">
      <alignment horizontal="center" vertical="center"/>
    </xf>
    <xf numFmtId="2" fontId="16" fillId="2" borderId="12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10" fontId="50" fillId="2" borderId="0" xfId="0" applyNumberFormat="1" applyFont="1" applyFill="1" applyAlignment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  <protection locked="0"/>
    </xf>
    <xf numFmtId="0" fontId="16" fillId="2" borderId="11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 applyProtection="1">
      <alignment horizontal="center" vertical="center" wrapText="1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20" xfId="0" applyFont="1" applyFill="1" applyBorder="1" applyAlignment="1" applyProtection="1">
      <alignment horizontal="center" vertical="center" wrapText="1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locked="0"/>
    </xf>
    <xf numFmtId="167" fontId="27" fillId="2" borderId="4" xfId="0" quotePrefix="1" applyNumberFormat="1" applyFont="1" applyFill="1" applyBorder="1" applyAlignment="1">
      <alignment horizontal="center" vertical="center"/>
    </xf>
    <xf numFmtId="167" fontId="27" fillId="2" borderId="3" xfId="0" quotePrefix="1" applyNumberFormat="1" applyFont="1" applyFill="1" applyBorder="1" applyAlignment="1">
      <alignment horizontal="center" vertical="center"/>
    </xf>
    <xf numFmtId="167" fontId="27" fillId="2" borderId="5" xfId="0" quotePrefix="1" applyNumberFormat="1" applyFont="1" applyFill="1" applyBorder="1" applyAlignment="1">
      <alignment horizontal="center" vertical="center"/>
    </xf>
    <xf numFmtId="167" fontId="27" fillId="2" borderId="8" xfId="0" quotePrefix="1" applyNumberFormat="1" applyFont="1" applyFill="1" applyBorder="1" applyAlignment="1">
      <alignment horizontal="center" vertical="center"/>
    </xf>
    <xf numFmtId="167" fontId="27" fillId="2" borderId="2" xfId="0" quotePrefix="1" applyNumberFormat="1" applyFont="1" applyFill="1" applyBorder="1" applyAlignment="1">
      <alignment horizontal="center" vertical="center"/>
    </xf>
    <xf numFmtId="167" fontId="27" fillId="2" borderId="9" xfId="0" quotePrefix="1" applyNumberFormat="1" applyFont="1" applyFill="1" applyBorder="1" applyAlignment="1">
      <alignment horizontal="center" vertical="center"/>
    </xf>
    <xf numFmtId="167" fontId="21" fillId="2" borderId="1" xfId="0" quotePrefix="1" applyNumberFormat="1" applyFont="1" applyFill="1" applyBorder="1" applyAlignment="1">
      <alignment horizontal="center" vertical="center" wrapText="1"/>
    </xf>
    <xf numFmtId="167" fontId="21" fillId="2" borderId="10" xfId="0" quotePrefix="1" applyNumberFormat="1" applyFont="1" applyFill="1" applyBorder="1" applyAlignment="1">
      <alignment horizontal="center" vertical="center" wrapText="1"/>
    </xf>
    <xf numFmtId="167" fontId="21" fillId="2" borderId="17" xfId="0" quotePrefix="1" applyNumberFormat="1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center" vertical="center"/>
    </xf>
    <xf numFmtId="167" fontId="16" fillId="2" borderId="11" xfId="0" quotePrefix="1" applyNumberFormat="1" applyFont="1" applyFill="1" applyBorder="1" applyAlignment="1">
      <alignment horizontal="center" vertical="center"/>
    </xf>
    <xf numFmtId="167" fontId="16" fillId="2" borderId="12" xfId="0" quotePrefix="1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0" xfId="0" quotePrefix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6" fillId="2" borderId="10" xfId="4" applyFont="1" applyFill="1" applyBorder="1" applyAlignment="1">
      <alignment horizontal="center" vertical="center"/>
    </xf>
    <xf numFmtId="0" fontId="16" fillId="2" borderId="11" xfId="4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/>
    </xf>
    <xf numFmtId="0" fontId="16" fillId="2" borderId="2" xfId="4" applyFont="1" applyFill="1" applyBorder="1" applyAlignment="1" applyProtection="1">
      <alignment horizontal="left" vertical="center" wrapText="1"/>
      <protection hidden="1"/>
    </xf>
    <xf numFmtId="0" fontId="16" fillId="2" borderId="9" xfId="4" applyFont="1" applyFill="1" applyBorder="1" applyAlignment="1" applyProtection="1">
      <alignment horizontal="left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>
      <alignment horizontal="center" vertical="center"/>
    </xf>
    <xf numFmtId="191" fontId="25" fillId="2" borderId="0" xfId="0" applyNumberFormat="1" applyFont="1" applyFill="1" applyAlignment="1" applyProtection="1">
      <alignment horizontal="center"/>
      <protection hidden="1"/>
    </xf>
    <xf numFmtId="0" fontId="2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16" fontId="11" fillId="2" borderId="1" xfId="2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16" fillId="0" borderId="0" xfId="4" quotePrefix="1" applyFont="1" applyAlignment="1">
      <alignment horizontal="left" vertical="center"/>
    </xf>
    <xf numFmtId="0" fontId="16" fillId="0" borderId="0" xfId="4" quotePrefix="1" applyFont="1" applyAlignment="1">
      <alignment horizontal="left" vertical="center" wrapText="1"/>
    </xf>
    <xf numFmtId="0" fontId="49" fillId="0" borderId="0" xfId="4" applyFont="1" applyAlignment="1">
      <alignment horizontal="right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0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23" fillId="0" borderId="0" xfId="4" quotePrefix="1" applyFont="1" applyAlignment="1">
      <alignment horizontal="left" vertical="center" wrapText="1"/>
    </xf>
    <xf numFmtId="1" fontId="16" fillId="0" borderId="1" xfId="21" applyNumberFormat="1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190" fontId="16" fillId="0" borderId="6" xfId="0" applyNumberFormat="1" applyFont="1" applyBorder="1" applyAlignment="1" applyProtection="1">
      <alignment horizontal="left" vertical="center"/>
      <protection locked="0"/>
    </xf>
    <xf numFmtId="190" fontId="16" fillId="0" borderId="0" xfId="0" applyNumberFormat="1" applyFont="1" applyAlignment="1" applyProtection="1">
      <alignment horizontal="left" vertical="center"/>
      <protection locked="0"/>
    </xf>
    <xf numFmtId="0" fontId="41" fillId="0" borderId="0" xfId="4" applyFont="1" applyAlignment="1">
      <alignment horizontal="left" vertical="center" wrapText="1"/>
    </xf>
    <xf numFmtId="164" fontId="16" fillId="0" borderId="1" xfId="0" applyNumberFormat="1" applyFont="1" applyBorder="1" applyAlignment="1">
      <alignment horizontal="center" vertical="center"/>
    </xf>
    <xf numFmtId="187" fontId="25" fillId="0" borderId="0" xfId="0" applyNumberFormat="1" applyFont="1" applyAlignment="1" applyProtection="1">
      <alignment horizontal="center"/>
      <protection locked="0"/>
    </xf>
    <xf numFmtId="167" fontId="34" fillId="0" borderId="60" xfId="0" quotePrefix="1" applyNumberFormat="1" applyFont="1" applyBorder="1" applyAlignment="1">
      <alignment horizontal="center" vertical="center" wrapText="1"/>
    </xf>
    <xf numFmtId="167" fontId="34" fillId="0" borderId="12" xfId="0" quotePrefix="1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7" fontId="27" fillId="0" borderId="1" xfId="0" quotePrefix="1" applyNumberFormat="1" applyFont="1" applyBorder="1" applyAlignment="1" applyProtection="1">
      <alignment horizontal="center" vertical="center" wrapText="1"/>
      <protection locked="0"/>
    </xf>
    <xf numFmtId="167" fontId="16" fillId="0" borderId="1" xfId="0" quotePrefix="1" applyNumberFormat="1" applyFont="1" applyBorder="1" applyAlignment="1">
      <alignment horizontal="center" vertical="center" wrapText="1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2" fontId="78" fillId="0" borderId="10" xfId="0" applyNumberFormat="1" applyFont="1" applyBorder="1" applyAlignment="1">
      <alignment horizontal="center" vertical="center"/>
    </xf>
    <xf numFmtId="2" fontId="78" fillId="0" borderId="11" xfId="0" applyNumberFormat="1" applyFont="1" applyBorder="1" applyAlignment="1">
      <alignment horizontal="center" vertical="center"/>
    </xf>
    <xf numFmtId="2" fontId="78" fillId="0" borderId="12" xfId="0" applyNumberFormat="1" applyFont="1" applyBorder="1" applyAlignment="1">
      <alignment horizontal="center" vertical="center"/>
    </xf>
    <xf numFmtId="167" fontId="59" fillId="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55" fillId="2" borderId="20" xfId="6" applyFont="1" applyFill="1" applyBorder="1" applyAlignment="1">
      <alignment horizontal="center" vertical="center"/>
    </xf>
    <xf numFmtId="0" fontId="55" fillId="2" borderId="19" xfId="6" applyFont="1" applyFill="1" applyBorder="1" applyAlignment="1">
      <alignment horizontal="center" vertical="center"/>
    </xf>
    <xf numFmtId="0" fontId="55" fillId="2" borderId="13" xfId="6" applyFont="1" applyFill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86" fontId="51" fillId="0" borderId="10" xfId="0" applyNumberFormat="1" applyFont="1" applyBorder="1" applyAlignment="1">
      <alignment horizontal="center" vertical="center"/>
    </xf>
    <xf numFmtId="186" fontId="51" fillId="0" borderId="12" xfId="0" applyNumberFormat="1" applyFont="1" applyBorder="1" applyAlignment="1">
      <alignment horizontal="center" vertical="center"/>
    </xf>
    <xf numFmtId="186" fontId="4" fillId="2" borderId="10" xfId="3" applyNumberFormat="1" applyFill="1" applyBorder="1" applyAlignment="1">
      <alignment horizontal="center" vertical="center"/>
    </xf>
    <xf numFmtId="186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5" fillId="2" borderId="10" xfId="3" applyFont="1" applyFill="1" applyBorder="1" applyAlignment="1">
      <alignment horizontal="left" vertical="center" wrapText="1" indent="1"/>
    </xf>
    <xf numFmtId="0" fontId="55" fillId="2" borderId="11" xfId="3" applyFont="1" applyFill="1" applyBorder="1" applyAlignment="1">
      <alignment horizontal="left" vertical="center" wrapText="1" indent="1"/>
    </xf>
    <xf numFmtId="0" fontId="55" fillId="2" borderId="12" xfId="3" applyFont="1" applyFill="1" applyBorder="1" applyAlignment="1">
      <alignment horizontal="left" vertical="center" wrapText="1" indent="1"/>
    </xf>
    <xf numFmtId="0" fontId="56" fillId="2" borderId="4" xfId="6" applyFont="1" applyFill="1" applyBorder="1" applyAlignment="1">
      <alignment horizontal="center" vertical="center" wrapText="1"/>
    </xf>
    <xf numFmtId="0" fontId="56" fillId="2" borderId="3" xfId="6" applyFont="1" applyFill="1" applyBorder="1" applyAlignment="1">
      <alignment horizontal="center" vertical="center" wrapText="1"/>
    </xf>
    <xf numFmtId="0" fontId="56" fillId="2" borderId="5" xfId="6" applyFont="1" applyFill="1" applyBorder="1" applyAlignment="1">
      <alignment horizontal="center" vertical="center" wrapText="1"/>
    </xf>
    <xf numFmtId="0" fontId="56" fillId="2" borderId="6" xfId="6" applyFont="1" applyFill="1" applyBorder="1" applyAlignment="1">
      <alignment horizontal="center" vertical="center" wrapText="1"/>
    </xf>
    <xf numFmtId="0" fontId="56" fillId="2" borderId="0" xfId="6" applyFont="1" applyFill="1" applyAlignment="1">
      <alignment horizontal="center" vertical="center" wrapText="1"/>
    </xf>
    <xf numFmtId="0" fontId="56" fillId="2" borderId="7" xfId="6" applyFont="1" applyFill="1" applyBorder="1" applyAlignment="1">
      <alignment horizontal="center" vertical="center" wrapText="1"/>
    </xf>
    <xf numFmtId="0" fontId="56" fillId="2" borderId="8" xfId="6" applyFont="1" applyFill="1" applyBorder="1" applyAlignment="1">
      <alignment horizontal="center" vertical="center" wrapText="1"/>
    </xf>
    <xf numFmtId="0" fontId="56" fillId="2" borderId="2" xfId="6" applyFont="1" applyFill="1" applyBorder="1" applyAlignment="1">
      <alignment horizontal="center" vertical="center" wrapText="1"/>
    </xf>
    <xf numFmtId="0" fontId="56" fillId="2" borderId="9" xfId="6" applyFont="1" applyFill="1" applyBorder="1" applyAlignment="1">
      <alignment horizontal="center" vertical="center" wrapText="1"/>
    </xf>
    <xf numFmtId="0" fontId="66" fillId="2" borderId="1" xfId="3" applyFont="1" applyFill="1" applyBorder="1" applyAlignment="1">
      <alignment horizontal="center"/>
    </xf>
    <xf numFmtId="0" fontId="4" fillId="2" borderId="0" xfId="3" quotePrefix="1" applyFill="1" applyAlignment="1" applyProtection="1">
      <alignment horizontal="center" vertical="center"/>
      <protection hidden="1"/>
    </xf>
    <xf numFmtId="0" fontId="4" fillId="2" borderId="6" xfId="3" applyFill="1" applyBorder="1" applyAlignment="1">
      <alignment horizontal="center"/>
    </xf>
    <xf numFmtId="0" fontId="4" fillId="2" borderId="7" xfId="3" applyFill="1" applyBorder="1" applyAlignment="1">
      <alignment horizontal="center"/>
    </xf>
    <xf numFmtId="0" fontId="4" fillId="2" borderId="1" xfId="3" applyFill="1" applyBorder="1" applyAlignment="1">
      <alignment horizontal="center"/>
    </xf>
    <xf numFmtId="0" fontId="66" fillId="2" borderId="0" xfId="3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0" xfId="3" applyFill="1" applyAlignment="1">
      <alignment horizontal="center" vertical="center"/>
    </xf>
    <xf numFmtId="2" fontId="4" fillId="2" borderId="10" xfId="3" applyNumberFormat="1" applyFill="1" applyBorder="1" applyAlignment="1">
      <alignment horizontal="center"/>
    </xf>
    <xf numFmtId="2" fontId="4" fillId="2" borderId="1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3" fillId="2" borderId="29" xfId="3" applyFont="1" applyFill="1" applyBorder="1" applyAlignment="1" applyProtection="1">
      <alignment horizontal="center"/>
      <protection hidden="1"/>
    </xf>
    <xf numFmtId="0" fontId="73" fillId="2" borderId="0" xfId="3" applyFont="1" applyFill="1" applyAlignment="1" applyProtection="1">
      <alignment horizontal="center"/>
      <protection hidden="1"/>
    </xf>
    <xf numFmtId="0" fontId="72" fillId="2" borderId="25" xfId="3" applyFont="1" applyFill="1" applyBorder="1" applyAlignment="1" applyProtection="1">
      <alignment horizontal="center"/>
      <protection hidden="1"/>
    </xf>
    <xf numFmtId="0" fontId="72" fillId="2" borderId="31" xfId="3" applyFont="1" applyFill="1" applyBorder="1" applyAlignment="1" applyProtection="1">
      <alignment horizontal="center"/>
      <protection hidden="1"/>
    </xf>
    <xf numFmtId="0" fontId="72" fillId="2" borderId="26" xfId="3" applyFont="1" applyFill="1" applyBorder="1" applyAlignment="1" applyProtection="1">
      <alignment horizontal="center"/>
      <protection hidden="1"/>
    </xf>
    <xf numFmtId="0" fontId="5" fillId="2" borderId="1" xfId="3" applyFont="1" applyFill="1" applyBorder="1" applyAlignment="1" applyProtection="1">
      <alignment horizontal="center"/>
      <protection hidden="1"/>
    </xf>
    <xf numFmtId="0" fontId="75" fillId="2" borderId="25" xfId="3" applyFont="1" applyFill="1" applyBorder="1" applyAlignment="1" applyProtection="1">
      <alignment horizontal="center"/>
      <protection hidden="1"/>
    </xf>
    <xf numFmtId="0" fontId="75" fillId="2" borderId="31" xfId="3" applyFont="1" applyFill="1" applyBorder="1" applyAlignment="1" applyProtection="1">
      <alignment horizontal="center"/>
      <protection hidden="1"/>
    </xf>
    <xf numFmtId="0" fontId="75" fillId="2" borderId="26" xfId="3" applyFont="1" applyFill="1" applyBorder="1" applyAlignment="1" applyProtection="1">
      <alignment horizontal="center"/>
      <protection hidden="1"/>
    </xf>
    <xf numFmtId="180" fontId="4" fillId="0" borderId="1" xfId="0" applyNumberFormat="1" applyFont="1" applyBorder="1" applyAlignment="1">
      <alignment horizontal="center" vertical="center"/>
    </xf>
  </cellXfs>
  <cellStyles count="22">
    <cellStyle name="Euro" xfId="12" xr:uid="{00000000-0005-0000-0000-000000000000}"/>
    <cellStyle name="Hipervínculo 2" xfId="13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10" xr:uid="{00000000-0005-0000-0000-000005000000}"/>
    <cellStyle name="Normal 3 2" xfId="19" xr:uid="{00000000-0005-0000-0000-000006000000}"/>
    <cellStyle name="Normal 3 4" xfId="14" xr:uid="{00000000-0005-0000-0000-000007000000}"/>
    <cellStyle name="Normal 4" xfId="1" xr:uid="{00000000-0005-0000-0000-000008000000}"/>
    <cellStyle name="Normal 4 2" xfId="15" xr:uid="{00000000-0005-0000-0000-000009000000}"/>
    <cellStyle name="Normal 5" xfId="9" xr:uid="{00000000-0005-0000-0000-00000A000000}"/>
    <cellStyle name="Normal 5 2" xfId="7" xr:uid="{00000000-0005-0000-0000-00000B000000}"/>
    <cellStyle name="Normal 5 4" xfId="11" xr:uid="{00000000-0005-0000-0000-00000C000000}"/>
    <cellStyle name="Normal 5 5" xfId="16" xr:uid="{00000000-0005-0000-0000-00000D000000}"/>
    <cellStyle name="Normal 6" xfId="6" xr:uid="{00000000-0005-0000-0000-00000E000000}"/>
    <cellStyle name="Normal 6 2" xfId="20" xr:uid="{00000000-0005-0000-0000-00000F000000}"/>
    <cellStyle name="Normal 6 3" xfId="18" xr:uid="{00000000-0005-0000-0000-000010000000}"/>
    <cellStyle name="Normal 7" xfId="8" xr:uid="{00000000-0005-0000-0000-000011000000}"/>
    <cellStyle name="Normal_ENSAYOS" xfId="2" xr:uid="{00000000-0005-0000-0000-000012000000}"/>
    <cellStyle name="Normal_Produc. 07-09-99 2" xfId="5" xr:uid="{00000000-0005-0000-0000-000013000000}"/>
    <cellStyle name="Porcentaje" xfId="21" builtinId="5"/>
    <cellStyle name="Porcentual 2" xfId="17" xr:uid="{00000000-0005-0000-0000-00001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EC20B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DIAGRAMA</a:t>
            </a:r>
            <a:r>
              <a:rPr lang="es-PE" baseline="0"/>
              <a:t> DE FLUIDEZ</a:t>
            </a:r>
            <a:endParaRPr lang="es-PE"/>
          </a:p>
        </c:rich>
      </c:tx>
      <c:layout>
        <c:manualLayout>
          <c:xMode val="edge"/>
          <c:yMode val="edge"/>
          <c:x val="0.40694116915620704"/>
          <c:y val="2.777774516767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'INFORME NTP'!$N$36:$N$38</c:f>
              <c:numCache>
                <c:formatCode>General</c:formatCode>
                <c:ptCount val="3"/>
                <c:pt idx="0">
                  <c:v>34</c:v>
                </c:pt>
                <c:pt idx="1">
                  <c:v>23</c:v>
                </c:pt>
                <c:pt idx="2">
                  <c:v>14</c:v>
                </c:pt>
              </c:numCache>
            </c:numRef>
          </c:xVal>
          <c:yVal>
            <c:numRef>
              <c:f>'INFORME NTP'!$O$36:$O$38</c:f>
              <c:numCache>
                <c:formatCode>0.0</c:formatCode>
                <c:ptCount val="3"/>
                <c:pt idx="0">
                  <c:v>23.510466988727867</c:v>
                </c:pt>
                <c:pt idx="1">
                  <c:v>24.41640378548896</c:v>
                </c:pt>
                <c:pt idx="2">
                  <c:v>25.943646996278574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2-4ABA-8E3D-75215ABBDD62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'INFORME NTP'!$N$39:$N$41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'INFORME NTP'!$O$39:$O$41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24.315695689796172</c:v>
                </c:pt>
                <c:pt idx="2">
                  <c:v>24.315695689796172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E2-4ABA-8E3D-75215ABBD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71328"/>
        <c:axId val="104373632"/>
      </c:scatterChart>
      <c:valAx>
        <c:axId val="104371328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4373632"/>
        <c:crosses val="autoZero"/>
        <c:crossBetween val="midCat"/>
        <c:majorUnit val="10"/>
        <c:minorUnit val="10"/>
      </c:valAx>
      <c:valAx>
        <c:axId val="104373632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</a:t>
                </a:r>
                <a:r>
                  <a:rPr lang="es-PE" baseline="0"/>
                  <a:t> </a:t>
                </a:r>
                <a:r>
                  <a:rPr lang="es-PE"/>
                  <a:t>de Humedad %</a:t>
                </a:r>
              </a:p>
            </c:rich>
          </c:tx>
          <c:layout>
            <c:manualLayout>
              <c:xMode val="edge"/>
              <c:yMode val="edge"/>
              <c:x val="2.1772935411717587E-2"/>
              <c:y val="0.2086468305911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4371328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DIAGRAMA</a:t>
            </a:r>
            <a:r>
              <a:rPr lang="es-PE" baseline="0"/>
              <a:t> DE FLUIDEZ</a:t>
            </a:r>
            <a:endParaRPr lang="es-PE"/>
          </a:p>
        </c:rich>
      </c:tx>
      <c:layout>
        <c:manualLayout>
          <c:xMode val="edge"/>
          <c:yMode val="edge"/>
          <c:x val="0.40694116915620704"/>
          <c:y val="2.777774516767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'INFORME LIMITE'!$U$34:$U$36</c:f>
            </c:numRef>
          </c:xVal>
          <c:yVal>
            <c:numRef>
              <c:f>'INFORME LIMITE'!$V$34:$V$36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5-4F01-BE13-267B206C1B52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'INFORME LIMITE'!$U$37:$U$39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'INFORME LIMITE'!$V$37:$V$39</c:f>
              <c:numCache>
                <c:formatCode>0.00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5-4F01-BE13-267B206C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41344"/>
        <c:axId val="119243904"/>
      </c:scatterChart>
      <c:valAx>
        <c:axId val="11924134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9243904"/>
        <c:crosses val="autoZero"/>
        <c:crossBetween val="midCat"/>
        <c:majorUnit val="10"/>
        <c:minorUnit val="10"/>
      </c:valAx>
      <c:valAx>
        <c:axId val="119243904"/>
        <c:scaling>
          <c:orientation val="minMax"/>
          <c:max val="40"/>
          <c:min val="3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</a:t>
                </a:r>
                <a:r>
                  <a:rPr lang="es-PE" baseline="0"/>
                  <a:t> </a:t>
                </a:r>
                <a:r>
                  <a:rPr lang="es-PE"/>
                  <a:t>de Humedad %</a:t>
                </a:r>
              </a:p>
            </c:rich>
          </c:tx>
          <c:layout>
            <c:manualLayout>
              <c:xMode val="edge"/>
              <c:yMode val="edge"/>
              <c:x val="2.1772935411717587E-2"/>
              <c:y val="0.2086468305911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9241344"/>
        <c:crosses val="autoZero"/>
        <c:crossBetween val="midCat"/>
        <c:maj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Limite plastico</a:t>
            </a:r>
          </a:p>
        </c:rich>
      </c:tx>
      <c:layout>
        <c:manualLayout>
          <c:xMode val="edge"/>
          <c:yMode val="edge"/>
          <c:x val="0.1295270695622705"/>
          <c:y val="2.72035076588271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023503925311108"/>
          <c:y val="0.18825471951647718"/>
          <c:w val="0.53335440812397661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Incertidumbre!$A$78:$A$81</c:f>
              <c:strCache>
                <c:ptCount val="4"/>
                <c:pt idx="0">
                  <c:v>M. Humeda</c:v>
                </c:pt>
                <c:pt idx="1">
                  <c:v>M. Seca</c:v>
                </c:pt>
                <c:pt idx="2">
                  <c:v>M. tara</c:v>
                </c:pt>
                <c:pt idx="3">
                  <c:v>F presicion</c:v>
                </c:pt>
              </c:strCache>
            </c:strRef>
          </c:cat>
          <c:val>
            <c:numRef>
              <c:f>Incertidumbre!$C$78:$C$81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B9E-81EA-CD810670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66624"/>
        <c:axId val="119480704"/>
      </c:barChart>
      <c:catAx>
        <c:axId val="11946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9480704"/>
        <c:crosses val="autoZero"/>
        <c:auto val="1"/>
        <c:lblAlgn val="ctr"/>
        <c:lblOffset val="100"/>
        <c:noMultiLvlLbl val="0"/>
      </c:catAx>
      <c:valAx>
        <c:axId val="119480704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1946662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1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LIMITE LIQUIDO</a:t>
            </a:r>
          </a:p>
        </c:rich>
      </c:tx>
      <c:layout>
        <c:manualLayout>
          <c:xMode val="edge"/>
          <c:yMode val="edge"/>
          <c:x val="0.41628273792744874"/>
          <c:y val="3.44498945828492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45107398568018"/>
          <c:y val="0.25819723800356603"/>
          <c:w val="0.441527446300716"/>
          <c:h val="0.4959026317211348"/>
        </c:manualLayout>
      </c:layout>
      <c:scatterChart>
        <c:scatterStyle val="smoothMarker"/>
        <c:varyColors val="0"/>
        <c:ser>
          <c:idx val="0"/>
          <c:order val="0"/>
          <c:tx>
            <c:v>Curva de Liquidez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57108125207499416"/>
                  <c:y val="0.1852618217804741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0.52937837315790071"/>
                  <c:y val="0.52396583623768345"/>
                </c:manualLayout>
              </c:layout>
              <c:numFmt formatCode="General" sourceLinked="0"/>
            </c:trendlineLbl>
          </c:trendline>
          <c:xVal>
            <c:numRef>
              <c:f>curva!$C$2:$E$2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curva!$C$8:$E$8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BE-43CA-8206-C60D10BC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36480"/>
        <c:axId val="120838400"/>
      </c:scatterChart>
      <c:valAx>
        <c:axId val="120836480"/>
        <c:scaling>
          <c:logBase val="10"/>
          <c:orientation val="minMax"/>
          <c:min val="1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27446300715990452"/>
              <c:y val="0.889345983391420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0838400"/>
        <c:crosses val="autoZero"/>
        <c:crossBetween val="midCat"/>
      </c:valAx>
      <c:valAx>
        <c:axId val="120838400"/>
        <c:scaling>
          <c:orientation val="minMax"/>
          <c:max val="4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 de Humedad</a:t>
                </a:r>
              </a:p>
            </c:rich>
          </c:tx>
          <c:layout>
            <c:manualLayout>
              <c:xMode val="edge"/>
              <c:yMode val="edge"/>
              <c:x val="4.77326968973747E-2"/>
              <c:y val="0.22131190568392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0836480"/>
        <c:crosses val="autoZero"/>
        <c:crossBetween val="midCat"/>
        <c:majorUnit val="5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5155131264916466"/>
          <c:y val="0.24180370896260917"/>
          <c:w val="0.2935560859188544"/>
          <c:h val="0.295082397487199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22" r="0.75000000000000222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LIMITE LIQUIDO</a:t>
            </a:r>
          </a:p>
        </c:rich>
      </c:tx>
      <c:layout>
        <c:manualLayout>
          <c:xMode val="edge"/>
          <c:yMode val="edge"/>
          <c:x val="0.4162826681147645"/>
          <c:y val="3.4449896661468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5522845462831"/>
          <c:y val="0.20776602325606444"/>
          <c:w val="0.67198556424733902"/>
          <c:h val="0.64613689835621613"/>
        </c:manualLayout>
      </c:layout>
      <c:scatterChart>
        <c:scatterStyle val="smoothMarker"/>
        <c:varyColors val="0"/>
        <c:ser>
          <c:idx val="0"/>
          <c:order val="0"/>
          <c:tx>
            <c:v>Curva de Liquidez</c:v>
          </c:tx>
          <c:dLbls>
            <c:dLbl>
              <c:idx val="0"/>
              <c:tx>
                <c:rich>
                  <a:bodyPr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1</a:t>
                    </a: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1</a:t>
                    </a:r>
                    <a:endParaRPr lang="en-US" sz="1600" b="0" i="0" baseline="-25000">
                      <a:solidFill>
                        <a:srgbClr val="C00000"/>
                      </a:solidFill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5FB-47B4-AB01-4D0C6E8D8D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0</a:t>
                    </a: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0</a:t>
                    </a:r>
                    <a:endParaRPr lang="en-US" sz="1600" baseline="-25000">
                      <a:solidFill>
                        <a:srgbClr val="C00000"/>
                      </a:solidFill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5FB-47B4-AB01-4D0C6E8D8DE3}"/>
                </c:ext>
              </c:extLst>
            </c:dLbl>
            <c:dLbl>
              <c:idx val="2"/>
              <c:layout>
                <c:manualLayout>
                  <c:x val="-1.6933121104882213E-2"/>
                  <c:y val="-3.262111728143980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600" b="1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baseline="-25000">
                        <a:solidFill>
                          <a:srgbClr val="C00000"/>
                        </a:solidFill>
                      </a:rPr>
                      <a:t>2</a:t>
                    </a:r>
                    <a:r>
                      <a:rPr lang="en-US" sz="1600" b="1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baseline="-25000">
                        <a:solidFill>
                          <a:srgbClr val="C00000"/>
                        </a:solidFill>
                      </a:rPr>
                      <a:t>2</a:t>
                    </a:r>
                  </a:p>
                </c:rich>
              </c:tx>
              <c:spPr>
                <a:noFill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5FB-47B4-AB01-4D0C6E8D8D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1"/>
            <c:dispEq val="1"/>
            <c:trendlineLbl>
              <c:layout>
                <c:manualLayout>
                  <c:x val="0.51848351681913751"/>
                  <c:y val="-0.2023372706949160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-0.1202x + 27.469
R² = 0.9589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trendline>
            <c:spPr>
              <a:ln w="28575">
                <a:solidFill>
                  <a:srgbClr val="FF0000"/>
                </a:solidFill>
                <a:headEnd type="oval"/>
                <a:tailEnd type="oval"/>
              </a:ln>
            </c:spPr>
            <c:trendlineType val="linear"/>
            <c:dispRSqr val="0"/>
            <c:dispEq val="0"/>
          </c:trendline>
          <c:xVal>
            <c:numRef>
              <c:f>'[7]liquido incert.'!$L$36:$N$36</c:f>
              <c:numCache>
                <c:formatCode>General</c:formatCode>
                <c:ptCount val="3"/>
                <c:pt idx="0">
                  <c:v>35</c:v>
                </c:pt>
                <c:pt idx="1">
                  <c:v>28</c:v>
                </c:pt>
                <c:pt idx="2">
                  <c:v>21</c:v>
                </c:pt>
              </c:numCache>
            </c:numRef>
          </c:xVal>
          <c:yVal>
            <c:numRef>
              <c:f>'[7]liquido incert.'!$L$42:$N$42</c:f>
              <c:numCache>
                <c:formatCode>General</c:formatCode>
                <c:ptCount val="3"/>
                <c:pt idx="0">
                  <c:v>35.752688172042994</c:v>
                </c:pt>
                <c:pt idx="1">
                  <c:v>36.738351254480264</c:v>
                </c:pt>
                <c:pt idx="2">
                  <c:v>38.29201101928377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FB-47B4-AB01-4D0C6E8D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0416"/>
        <c:axId val="121022336"/>
      </c:scatterChart>
      <c:valAx>
        <c:axId val="121020416"/>
        <c:scaling>
          <c:logBase val="10"/>
          <c:orientation val="minMax"/>
          <c:min val="1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4869428907593447"/>
              <c:y val="0.889955494693602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21022336"/>
        <c:crosses val="autoZero"/>
        <c:crossBetween val="midCat"/>
      </c:valAx>
      <c:valAx>
        <c:axId val="121022336"/>
        <c:scaling>
          <c:orientation val="minMax"/>
          <c:max val="40"/>
          <c:min val="34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Contenido de Humedad
</a:t>
                </a:r>
              </a:p>
            </c:rich>
          </c:tx>
          <c:layout>
            <c:manualLayout>
              <c:xMode val="edge"/>
              <c:yMode val="edge"/>
              <c:x val="1.3907430310102237E-2"/>
              <c:y val="0.2913037250122649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21020416"/>
        <c:crosses val="autoZero"/>
        <c:crossBetween val="midCat"/>
        <c:majorUnit val="2"/>
        <c:minorUnit val="0.5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0257955484349464"/>
          <c:y val="5.0104079436416982E-2"/>
          <c:w val="0.14810782993957072"/>
          <c:h val="0.160923115454974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311" r="0.75000000000000311" t="1" header="0" footer="0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LIMITE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C20B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rgbClr val="EC20B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4.9312117235345579E-2"/>
                  <c:y val="-0.11414151356080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curva!$C$2:$E$2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curva!$C$8:$E$8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D5-4D68-A951-055280E5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43584"/>
        <c:axId val="121180544"/>
      </c:scatterChart>
      <c:valAx>
        <c:axId val="121043584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180544"/>
        <c:crosses val="autoZero"/>
        <c:crossBetween val="midCat"/>
      </c:valAx>
      <c:valAx>
        <c:axId val="1211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04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33</xdr:row>
      <xdr:rowOff>180975</xdr:rowOff>
    </xdr:from>
    <xdr:to>
      <xdr:col>5</xdr:col>
      <xdr:colOff>409575</xdr:colOff>
      <xdr:row>41</xdr:row>
      <xdr:rowOff>142875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394410</xdr:colOff>
      <xdr:row>34</xdr:row>
      <xdr:rowOff>68395</xdr:rowOff>
    </xdr:from>
    <xdr:ext cx="1146661" cy="888641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374830" y="73683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15</xdr:col>
      <xdr:colOff>619125</xdr:colOff>
      <xdr:row>33</xdr:row>
      <xdr:rowOff>205740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829800" y="73304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6</xdr:col>
      <xdr:colOff>266700</xdr:colOff>
      <xdr:row>42</xdr:row>
      <xdr:rowOff>9526</xdr:rowOff>
    </xdr:from>
    <xdr:to>
      <xdr:col>8</xdr:col>
      <xdr:colOff>190501</xdr:colOff>
      <xdr:row>48</xdr:row>
      <xdr:rowOff>114302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4191000" y="9277351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114303</xdr:colOff>
      <xdr:row>41</xdr:row>
      <xdr:rowOff>190501</xdr:rowOff>
    </xdr:from>
    <xdr:to>
      <xdr:col>11</xdr:col>
      <xdr:colOff>57153</xdr:colOff>
      <xdr:row>48</xdr:row>
      <xdr:rowOff>104776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5276853" y="9220201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16</xdr:row>
      <xdr:rowOff>108744</xdr:rowOff>
    </xdr:from>
    <xdr:to>
      <xdr:col>29</xdr:col>
      <xdr:colOff>551493</xdr:colOff>
      <xdr:row>19</xdr:row>
      <xdr:rowOff>57070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169545</xdr:rowOff>
    </xdr:from>
    <xdr:to>
      <xdr:col>13</xdr:col>
      <xdr:colOff>0</xdr:colOff>
      <xdr:row>54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30965"/>
          <a:ext cx="756285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48</xdr:row>
      <xdr:rowOff>26671</xdr:rowOff>
    </xdr:from>
    <xdr:to>
      <xdr:col>9</xdr:col>
      <xdr:colOff>506729</xdr:colOff>
      <xdr:row>51</xdr:row>
      <xdr:rowOff>1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91840" y="1024509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9</xdr:col>
      <xdr:colOff>621029</xdr:colOff>
      <xdr:row>48</xdr:row>
      <xdr:rowOff>19050</xdr:rowOff>
    </xdr:from>
    <xdr:to>
      <xdr:col>12</xdr:col>
      <xdr:colOff>325754</xdr:colOff>
      <xdr:row>51</xdr:row>
      <xdr:rowOff>9525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398769" y="10237470"/>
          <a:ext cx="2059305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6</xdr:col>
      <xdr:colOff>38100</xdr:colOff>
      <xdr:row>0</xdr:row>
      <xdr:rowOff>38100</xdr:rowOff>
    </xdr:from>
    <xdr:to>
      <xdr:col>8</xdr:col>
      <xdr:colOff>476250</xdr:colOff>
      <xdr:row>4</xdr:row>
      <xdr:rowOff>111718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8100"/>
          <a:ext cx="1152525" cy="6832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29</xdr:row>
      <xdr:rowOff>203835</xdr:rowOff>
    </xdr:from>
    <xdr:to>
      <xdr:col>8</xdr:col>
      <xdr:colOff>409575</xdr:colOff>
      <xdr:row>37</xdr:row>
      <xdr:rowOff>165735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86671</xdr:colOff>
      <xdr:row>76</xdr:row>
      <xdr:rowOff>53659</xdr:rowOff>
    </xdr:from>
    <xdr:to>
      <xdr:col>9</xdr:col>
      <xdr:colOff>240076</xdr:colOff>
      <xdr:row>82</xdr:row>
      <xdr:rowOff>7492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19431" y="16970059"/>
          <a:ext cx="1387845" cy="1005393"/>
        </a:xfrm>
        <a:prstGeom prst="rect">
          <a:avLst/>
        </a:prstGeom>
      </xdr:spPr>
    </xdr:pic>
    <xdr:clientData/>
  </xdr:twoCellAnchor>
  <xdr:twoCellAnchor>
    <xdr:from>
      <xdr:col>11</xdr:col>
      <xdr:colOff>348909</xdr:colOff>
      <xdr:row>77</xdr:row>
      <xdr:rowOff>52794</xdr:rowOff>
    </xdr:from>
    <xdr:to>
      <xdr:col>13</xdr:col>
      <xdr:colOff>814047</xdr:colOff>
      <xdr:row>82</xdr:row>
      <xdr:rowOff>158750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5835309" y="17102544"/>
          <a:ext cx="1119188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161919</xdr:colOff>
      <xdr:row>39</xdr:row>
      <xdr:rowOff>173361</xdr:rowOff>
    </xdr:from>
    <xdr:to>
      <xdr:col>10</xdr:col>
      <xdr:colOff>341359</xdr:colOff>
      <xdr:row>45</xdr:row>
      <xdr:rowOff>14799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806819" y="9126861"/>
          <a:ext cx="1411340" cy="1073338"/>
        </a:xfrm>
        <a:prstGeom prst="rect">
          <a:avLst/>
        </a:prstGeom>
      </xdr:spPr>
    </xdr:pic>
    <xdr:clientData/>
  </xdr:twoCellAnchor>
  <xdr:twoCellAnchor editAs="oneCell">
    <xdr:from>
      <xdr:col>9</xdr:col>
      <xdr:colOff>441960</xdr:colOff>
      <xdr:row>76</xdr:row>
      <xdr:rowOff>99060</xdr:rowOff>
    </xdr:from>
    <xdr:to>
      <xdr:col>11</xdr:col>
      <xdr:colOff>312473</xdr:colOff>
      <xdr:row>82</xdr:row>
      <xdr:rowOff>142973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09160" y="170154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472440</xdr:colOff>
      <xdr:row>39</xdr:row>
      <xdr:rowOff>170180</xdr:rowOff>
    </xdr:from>
    <xdr:to>
      <xdr:col>13</xdr:col>
      <xdr:colOff>304853</xdr:colOff>
      <xdr:row>45</xdr:row>
      <xdr:rowOff>27403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349240" y="9123680"/>
          <a:ext cx="1096063" cy="1089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167640</xdr:colOff>
      <xdr:row>76</xdr:row>
      <xdr:rowOff>22860</xdr:rowOff>
    </xdr:from>
    <xdr:to>
      <xdr:col>21</xdr:col>
      <xdr:colOff>650331</xdr:colOff>
      <xdr:row>83</xdr:row>
      <xdr:rowOff>106374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6880" y="169392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0</xdr:colOff>
      <xdr:row>23</xdr:row>
      <xdr:rowOff>142876</xdr:rowOff>
    </xdr:from>
    <xdr:ext cx="18531" cy="200119"/>
    <xdr:sp macro="" textlink="">
      <xdr:nvSpPr>
        <xdr:cNvPr id="30" name="Text Box 38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3524250" y="5000626"/>
          <a:ext cx="18531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3</xdr:col>
      <xdr:colOff>152399</xdr:colOff>
      <xdr:row>75</xdr:row>
      <xdr:rowOff>212988</xdr:rowOff>
    </xdr:from>
    <xdr:to>
      <xdr:col>7</xdr:col>
      <xdr:colOff>912283</xdr:colOff>
      <xdr:row>87</xdr:row>
      <xdr:rowOff>124883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13</xdr:row>
          <xdr:rowOff>106680</xdr:rowOff>
        </xdr:from>
        <xdr:to>
          <xdr:col>5</xdr:col>
          <xdr:colOff>426720</xdr:colOff>
          <xdr:row>17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127002</xdr:colOff>
      <xdr:row>25</xdr:row>
      <xdr:rowOff>10583</xdr:rowOff>
    </xdr:from>
    <xdr:to>
      <xdr:col>3</xdr:col>
      <xdr:colOff>506140</xdr:colOff>
      <xdr:row>33</xdr:row>
      <xdr:rowOff>31750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367"/>
        <a:stretch/>
      </xdr:blipFill>
      <xdr:spPr>
        <a:xfrm>
          <a:off x="127002" y="4762500"/>
          <a:ext cx="4062138" cy="20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867826</xdr:colOff>
      <xdr:row>25</xdr:row>
      <xdr:rowOff>21164</xdr:rowOff>
    </xdr:from>
    <xdr:to>
      <xdr:col>7</xdr:col>
      <xdr:colOff>1396993</xdr:colOff>
      <xdr:row>32</xdr:row>
      <xdr:rowOff>257721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5" t="4235" r="2601" b="3303"/>
        <a:stretch/>
      </xdr:blipFill>
      <xdr:spPr>
        <a:xfrm>
          <a:off x="4550826" y="4773081"/>
          <a:ext cx="4497917" cy="1919307"/>
        </a:xfrm>
        <a:prstGeom prst="rect">
          <a:avLst/>
        </a:prstGeom>
      </xdr:spPr>
    </xdr:pic>
    <xdr:clientData/>
  </xdr:twoCellAnchor>
  <xdr:twoCellAnchor>
    <xdr:from>
      <xdr:col>0</xdr:col>
      <xdr:colOff>357189</xdr:colOff>
      <xdr:row>0</xdr:row>
      <xdr:rowOff>35720</xdr:rowOff>
    </xdr:from>
    <xdr:to>
      <xdr:col>0</xdr:col>
      <xdr:colOff>1357312</xdr:colOff>
      <xdr:row>3</xdr:row>
      <xdr:rowOff>134895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9" y="35720"/>
          <a:ext cx="1000123" cy="599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133350</xdr:rowOff>
    </xdr:from>
    <xdr:to>
      <xdr:col>6</xdr:col>
      <xdr:colOff>514350</xdr:colOff>
      <xdr:row>4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3350"/>
          <a:ext cx="6000750" cy="619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133350</xdr:rowOff>
    </xdr:from>
    <xdr:to>
      <xdr:col>4</xdr:col>
      <xdr:colOff>457200</xdr:colOff>
      <xdr:row>24</xdr:row>
      <xdr:rowOff>28575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6</xdr:col>
      <xdr:colOff>228600</xdr:colOff>
      <xdr:row>0</xdr:row>
      <xdr:rowOff>104775</xdr:rowOff>
    </xdr:from>
    <xdr:to>
      <xdr:col>15</xdr:col>
      <xdr:colOff>523875</xdr:colOff>
      <xdr:row>18</xdr:row>
      <xdr:rowOff>145305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20</xdr:row>
          <xdr:rowOff>106680</xdr:rowOff>
        </xdr:from>
        <xdr:to>
          <xdr:col>8</xdr:col>
          <xdr:colOff>99060</xdr:colOff>
          <xdr:row>29</xdr:row>
          <xdr:rowOff>137160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746760</xdr:colOff>
          <xdr:row>21</xdr:row>
          <xdr:rowOff>30480</xdr:rowOff>
        </xdr:from>
        <xdr:to>
          <xdr:col>15</xdr:col>
          <xdr:colOff>198120</xdr:colOff>
          <xdr:row>26</xdr:row>
          <xdr:rowOff>99060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7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561975</xdr:colOff>
      <xdr:row>10</xdr:row>
      <xdr:rowOff>33337</xdr:rowOff>
    </xdr:from>
    <xdr:to>
      <xdr:col>23</xdr:col>
      <xdr:colOff>361950</xdr:colOff>
      <xdr:row>34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0.24161</cdr:x>
      <cdr:y>0.4297</cdr:y>
    </cdr:from>
    <cdr:to>
      <cdr:x>0.26319</cdr:x>
      <cdr:y>0.73349</cdr:y>
    </cdr:to>
    <cdr:sp macro="" textlink="">
      <cdr:nvSpPr>
        <cdr:cNvPr id="2" name="1 Abrir llave"/>
        <cdr:cNvSpPr/>
      </cdr:nvSpPr>
      <cdr:spPr>
        <a:xfrm xmlns:a="http://schemas.openxmlformats.org/drawingml/2006/main">
          <a:off x="1812074" y="1840175"/>
          <a:ext cx="161877" cy="1300976"/>
        </a:xfrm>
        <a:prstGeom xmlns:a="http://schemas.openxmlformats.org/drawingml/2006/main" prst="leftBrace">
          <a:avLst/>
        </a:prstGeom>
        <a:ln xmlns:a="http://schemas.openxmlformats.org/drawingml/2006/main" w="190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0.12349</cdr:x>
      <cdr:y>0.5626</cdr:y>
    </cdr:from>
    <cdr:to>
      <cdr:x>0.26948</cdr:x>
      <cdr:y>0.66025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781050" y="1630432"/>
          <a:ext cx="923303" cy="2829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600" b="1">
              <a:solidFill>
                <a:schemeClr val="tx2">
                  <a:lumMod val="75000"/>
                </a:schemeClr>
              </a:solidFill>
            </a:rPr>
            <a:t>W</a:t>
          </a:r>
          <a:r>
            <a:rPr lang="es-PE" sz="1600" b="1" baseline="-25000">
              <a:solidFill>
                <a:schemeClr val="tx2">
                  <a:lumMod val="75000"/>
                </a:schemeClr>
              </a:solidFill>
            </a:rPr>
            <a:t>2</a:t>
          </a:r>
          <a:r>
            <a:rPr lang="es-PE" sz="1600" b="1">
              <a:solidFill>
                <a:schemeClr val="tx2">
                  <a:lumMod val="75000"/>
                </a:schemeClr>
              </a:solidFill>
            </a:rPr>
            <a:t> - W</a:t>
          </a:r>
          <a:r>
            <a:rPr lang="es-PE" sz="1600" b="1" baseline="-25000">
              <a:solidFill>
                <a:schemeClr val="tx2">
                  <a:lumMod val="75000"/>
                </a:scheme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0.36656</cdr:x>
      <cdr:y>0.5901</cdr:y>
    </cdr:from>
    <cdr:to>
      <cdr:x>0.38824</cdr:x>
      <cdr:y>0.69204</cdr:y>
    </cdr:to>
    <cdr:sp macro="" textlink="">
      <cdr:nvSpPr>
        <cdr:cNvPr id="4" name="1 Abrir llave"/>
        <cdr:cNvSpPr/>
      </cdr:nvSpPr>
      <cdr:spPr>
        <a:xfrm xmlns:a="http://schemas.openxmlformats.org/drawingml/2006/main">
          <a:off x="2646755" y="2626292"/>
          <a:ext cx="156543" cy="453695"/>
        </a:xfrm>
        <a:prstGeom xmlns:a="http://schemas.openxmlformats.org/drawingml/2006/main" prst="leftBrac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accent3">
              <a:lumMod val="75000"/>
            </a:scheme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0.2741</cdr:x>
      <cdr:y>0.60476</cdr:y>
    </cdr:from>
    <cdr:to>
      <cdr:x>0.38728</cdr:x>
      <cdr:y>0.71868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1733550" y="1752601"/>
          <a:ext cx="715828" cy="330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200" b="1">
              <a:solidFill>
                <a:schemeClr val="accent3">
                  <a:lumMod val="75000"/>
                </a:schemeClr>
              </a:solidFill>
            </a:rPr>
            <a:t>W</a:t>
          </a:r>
          <a:r>
            <a:rPr lang="es-PE" sz="1200" b="1" baseline="-25000">
              <a:solidFill>
                <a:schemeClr val="accent3">
                  <a:lumMod val="75000"/>
                </a:schemeClr>
              </a:solidFill>
            </a:rPr>
            <a:t>0</a:t>
          </a:r>
          <a:r>
            <a:rPr lang="es-PE" sz="1200" b="1">
              <a:solidFill>
                <a:schemeClr val="accent3">
                  <a:lumMod val="75000"/>
                </a:schemeClr>
              </a:solidFill>
            </a:rPr>
            <a:t> - W</a:t>
          </a:r>
          <a:r>
            <a:rPr lang="es-PE" sz="1200" b="1" baseline="-25000">
              <a:solidFill>
                <a:schemeClr val="accent3">
                  <a:lumMod val="75000"/>
                </a:scheme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0.33684</cdr:x>
      <cdr:y>0.78281</cdr:y>
    </cdr:from>
    <cdr:to>
      <cdr:x>0.46288</cdr:x>
      <cdr:y>0.83579</cdr:y>
    </cdr:to>
    <cdr:sp macro="" textlink="">
      <cdr:nvSpPr>
        <cdr:cNvPr id="6" name="1 CuadroTexto"/>
        <cdr:cNvSpPr txBox="1"/>
      </cdr:nvSpPr>
      <cdr:spPr>
        <a:xfrm xmlns:a="http://schemas.openxmlformats.org/drawingml/2006/main">
          <a:off x="2514600" y="3343276"/>
          <a:ext cx="940884" cy="226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600" b="1" baseline="0">
              <a:solidFill>
                <a:srgbClr val="1F497D">
                  <a:lumMod val="75000"/>
                </a:srgbClr>
              </a:solidFill>
            </a:rPr>
            <a:t>N</a:t>
          </a:r>
          <a:r>
            <a:rPr lang="es-PE" sz="1600" b="1" baseline="-25000">
              <a:solidFill>
                <a:srgbClr val="1F497D">
                  <a:lumMod val="75000"/>
                </a:srgbClr>
              </a:solidFill>
            </a:rPr>
            <a:t>2</a:t>
          </a:r>
          <a:r>
            <a:rPr lang="es-PE" sz="1600" b="1">
              <a:solidFill>
                <a:srgbClr val="1F497D">
                  <a:lumMod val="75000"/>
                </a:srgbClr>
              </a:solidFill>
            </a:rPr>
            <a:t> - N</a:t>
          </a:r>
          <a:r>
            <a:rPr lang="es-PE" sz="1600" b="1" baseline="-25000">
              <a:solidFill>
                <a:srgbClr val="1F497D">
                  <a:lumMod val="75000"/>
                </a:srgb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0.38453</cdr:x>
      <cdr:y>0.65685</cdr:y>
    </cdr:from>
    <cdr:to>
      <cdr:x>0.51807</cdr:x>
      <cdr:y>0.75594</cdr:y>
    </cdr:to>
    <cdr:sp macro="" textlink="">
      <cdr:nvSpPr>
        <cdr:cNvPr id="7" name="1 CuadroTexto"/>
        <cdr:cNvSpPr txBox="1"/>
      </cdr:nvSpPr>
      <cdr:spPr>
        <a:xfrm xmlns:a="http://schemas.openxmlformats.org/drawingml/2006/main">
          <a:off x="2431971" y="1903581"/>
          <a:ext cx="844629" cy="287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000" b="1" baseline="0">
              <a:solidFill>
                <a:srgbClr val="9BBB59">
                  <a:lumMod val="75000"/>
                </a:srgbClr>
              </a:solidFill>
            </a:rPr>
            <a:t>   N</a:t>
          </a:r>
          <a:r>
            <a:rPr lang="es-PE" sz="1000" b="1" baseline="-25000">
              <a:solidFill>
                <a:srgbClr val="9BBB59">
                  <a:lumMod val="75000"/>
                </a:srgbClr>
              </a:solidFill>
            </a:rPr>
            <a:t>0</a:t>
          </a:r>
          <a:r>
            <a:rPr lang="es-PE" sz="1000" b="1">
              <a:solidFill>
                <a:srgbClr val="9BBB59">
                  <a:lumMod val="75000"/>
                </a:srgbClr>
              </a:solidFill>
            </a:rPr>
            <a:t> - N</a:t>
          </a:r>
          <a:r>
            <a:rPr lang="es-PE" sz="1000" b="1" baseline="-25000">
              <a:solidFill>
                <a:srgbClr val="9BBB59">
                  <a:lumMod val="75000"/>
                </a:srgb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0.31376</cdr:x>
      <cdr:y>0.77347</cdr:y>
    </cdr:from>
    <cdr:to>
      <cdr:x>0.48193</cdr:x>
      <cdr:y>0.79867</cdr:y>
    </cdr:to>
    <cdr:sp macro="" textlink="">
      <cdr:nvSpPr>
        <cdr:cNvPr id="9" name="37 Abrir llave"/>
        <cdr:cNvSpPr/>
      </cdr:nvSpPr>
      <cdr:spPr>
        <a:xfrm xmlns:a="http://schemas.openxmlformats.org/drawingml/2006/main" rot="16200000">
          <a:off x="2479677" y="1746249"/>
          <a:ext cx="73025" cy="1063627"/>
        </a:xfrm>
        <a:prstGeom xmlns:a="http://schemas.openxmlformats.org/drawingml/2006/main" prst="leftBrace">
          <a:avLst/>
        </a:prstGeom>
        <a:ln xmlns:a="http://schemas.openxmlformats.org/drawingml/2006/main" w="190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s-PE" sz="1100"/>
        </a:p>
      </cdr:txBody>
    </cdr:sp>
  </cdr:relSizeAnchor>
  <cdr:relSizeAnchor xmlns:cdr="http://schemas.openxmlformats.org/drawingml/2006/chartDrawing">
    <cdr:from>
      <cdr:x>0.30873</cdr:x>
      <cdr:y>0.74798</cdr:y>
    </cdr:from>
    <cdr:to>
      <cdr:x>0.40184</cdr:x>
      <cdr:y>0.74937</cdr:y>
    </cdr:to>
    <cdr:cxnSp macro="">
      <cdr:nvCxnSpPr>
        <cdr:cNvPr id="10" name="24 Conector recto de flecha">
          <a:extLst xmlns:a="http://schemas.openxmlformats.org/drawingml/2006/main">
            <a:ext uri="{FF2B5EF4-FFF2-40B4-BE49-F238E27FC236}">
              <a16:creationId xmlns:a16="http://schemas.microsoft.com/office/drawing/2014/main" id="{DA12BABF-510C-4DA7-8552-3B945E2D8B60}"/>
            </a:ext>
          </a:extLst>
        </cdr:cNvPr>
        <cdr:cNvCxnSpPr/>
      </cdr:nvCxnSpPr>
      <cdr:spPr>
        <a:xfrm xmlns:a="http://schemas.openxmlformats.org/drawingml/2006/main" flipH="1">
          <a:off x="1952625" y="2167673"/>
          <a:ext cx="588842" cy="4027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0.27711</cdr:x>
      <cdr:y>0.37469</cdr:y>
    </cdr:from>
    <cdr:to>
      <cdr:x>0.49096</cdr:x>
      <cdr:y>0.73622</cdr:y>
    </cdr:to>
    <cdr:grpSp>
      <cdr:nvGrpSpPr>
        <cdr:cNvPr id="12" name="38 Grupo">
          <a:extLst xmlns:a="http://schemas.openxmlformats.org/drawingml/2006/main">
            <a:ext uri="{FF2B5EF4-FFF2-40B4-BE49-F238E27FC236}">
              <a16:creationId xmlns:a16="http://schemas.microsoft.com/office/drawing/2014/main" id="{C27FAE48-CD93-4F1B-8D1E-02C1BAF4B9CF}"/>
            </a:ext>
          </a:extLst>
        </cdr:cNvPr>
        <cdr:cNvGrpSpPr/>
      </cdr:nvGrpSpPr>
      <cdr:grpSpPr>
        <a:xfrm xmlns:a="http://schemas.openxmlformats.org/drawingml/2006/main">
          <a:off x="1752610" y="1225051"/>
          <a:ext cx="1352516" cy="1182024"/>
          <a:chOff x="0" y="0"/>
          <a:chExt cx="1481272" cy="1324619"/>
        </a:xfrm>
      </cdr:grpSpPr>
      <cdr:cxnSp macro="">
        <cdr:nvCxnSpPr>
          <cdr:cNvPr id="13" name="11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1418C137-5DBA-444A-874F-B766AE83B461}"/>
              </a:ext>
            </a:extLst>
          </cdr:cNvPr>
          <cdr:cNvCxnSpPr/>
        </cdr:nvCxnSpPr>
        <cdr:spPr>
          <a:xfrm xmlns:a="http://schemas.openxmlformats.org/drawingml/2006/main" rot="10800000">
            <a:off x="886028" y="780823"/>
            <a:ext cx="595244" cy="527605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13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EE43EA76-80BF-4692-91D0-80613B764652}"/>
              </a:ext>
            </a:extLst>
          </cdr:cNvPr>
          <cdr:cNvCxnSpPr/>
        </cdr:nvCxnSpPr>
        <cdr:spPr>
          <a:xfrm xmlns:a="http://schemas.openxmlformats.org/drawingml/2006/main" rot="10800000">
            <a:off x="0" y="0"/>
            <a:ext cx="885561" cy="755445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2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5" name="15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A1FABE16-AB3A-490D-9572-17995C83EEA9}"/>
              </a:ext>
            </a:extLst>
          </cdr:cNvPr>
          <cdr:cNvCxnSpPr/>
        </cdr:nvCxnSpPr>
        <cdr:spPr>
          <a:xfrm xmlns:a="http://schemas.openxmlformats.org/drawingml/2006/main" rot="10800000">
            <a:off x="904715" y="1311506"/>
            <a:ext cx="569760" cy="9547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6" name="18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6834B6F7-28C9-4032-A663-DC0A08F5748C}"/>
              </a:ext>
            </a:extLst>
          </cdr:cNvPr>
          <cdr:cNvCxnSpPr/>
        </cdr:nvCxnSpPr>
        <cdr:spPr>
          <a:xfrm xmlns:a="http://schemas.openxmlformats.org/drawingml/2006/main" rot="16200000" flipH="1">
            <a:off x="712654" y="1081203"/>
            <a:ext cx="422425" cy="1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7" name="22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2F66A88A-F993-4B45-BD02-9A46DBBD7548}"/>
              </a:ext>
            </a:extLst>
          </cdr:cNvPr>
          <cdr:cNvCxnSpPr/>
        </cdr:nvCxnSpPr>
        <cdr:spPr>
          <a:xfrm xmlns:a="http://schemas.openxmlformats.org/drawingml/2006/main" rot="5400000">
            <a:off x="-607930" y="685001"/>
            <a:ext cx="1277638" cy="1597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2">
                <a:lumMod val="75000"/>
              </a:schemeClr>
            </a:solidFill>
            <a:headEnd type="none"/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248210</xdr:colOff>
      <xdr:row>5</xdr:row>
      <xdr:rowOff>0</xdr:rowOff>
    </xdr:from>
    <xdr:to>
      <xdr:col>29</xdr:col>
      <xdr:colOff>521663</xdr:colOff>
      <xdr:row>18</xdr:row>
      <xdr:rowOff>102421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4151" y="5684183"/>
          <a:ext cx="4083453" cy="2288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aboratorio-Geotecnia\LGC%20Gesti&#243;n\0%20Documentos%20del%20SGI\02%20Procedimientos\LGC-P-06%20Estimaci&#243;n%20de%20la%20Incertidumbre\Registro\00%20Superados\TRABAJOS%20EN%20EXCEL\incertidumbre%20Limites%20de%20consist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medad LL"/>
      <sheetName val="liquido incert."/>
      <sheetName val="c.c. falta"/>
      <sheetName val="correccion"/>
      <sheetName val="plastico incert."/>
      <sheetName val="balanza"/>
      <sheetName val="Limites  repeticiones"/>
      <sheetName val="data"/>
      <sheetName val="LL"/>
    </sheetNames>
    <sheetDataSet>
      <sheetData sheetId="0"/>
      <sheetData sheetId="1">
        <row r="36">
          <cell r="L36">
            <v>35</v>
          </cell>
          <cell r="M36">
            <v>28</v>
          </cell>
          <cell r="N36">
            <v>21</v>
          </cell>
        </row>
        <row r="42">
          <cell r="L42">
            <v>35.752688172042994</v>
          </cell>
          <cell r="M42">
            <v>36.738351254480264</v>
          </cell>
          <cell r="N42">
            <v>38.29201101928377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7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D78"/>
  <sheetViews>
    <sheetView showGridLines="0" zoomScaleNormal="100" zoomScaleSheetLayoutView="100" workbookViewId="0">
      <selection activeCell="M9" sqref="M9"/>
    </sheetView>
  </sheetViews>
  <sheetFormatPr baseColWidth="10" defaultColWidth="10.33203125" defaultRowHeight="13.8" x14ac:dyDescent="0.25"/>
  <cols>
    <col min="1" max="1" width="16.33203125" style="23" customWidth="1"/>
    <col min="2" max="2" width="2" style="23" customWidth="1"/>
    <col min="3" max="3" width="12.6640625" style="23" customWidth="1"/>
    <col min="4" max="8" width="9.33203125" style="23" customWidth="1"/>
    <col min="9" max="9" width="8.88671875" style="23" customWidth="1"/>
    <col min="10" max="10" width="1.5546875" style="23" customWidth="1"/>
    <col min="11" max="11" width="13.5546875" style="23" customWidth="1"/>
    <col min="12" max="12" width="6.44140625" style="23" customWidth="1"/>
    <col min="13" max="13" width="8" style="23" customWidth="1"/>
    <col min="14" max="14" width="15.5546875" style="23" customWidth="1"/>
    <col min="15" max="15" width="10.88671875" style="23" customWidth="1"/>
    <col min="16" max="22" width="10.6640625" style="23" customWidth="1"/>
    <col min="23" max="16384" width="10.33203125" style="23"/>
  </cols>
  <sheetData>
    <row r="1" spans="1:19" ht="15.75" customHeight="1" x14ac:dyDescent="0.25">
      <c r="A1" s="21"/>
      <c r="B1" s="21"/>
      <c r="C1" s="21"/>
      <c r="D1" s="22"/>
      <c r="E1" s="22"/>
      <c r="F1" s="22"/>
      <c r="G1" s="22"/>
      <c r="H1" s="22"/>
    </row>
    <row r="2" spans="1:19" ht="15.75" customHeight="1" x14ac:dyDescent="0.25">
      <c r="A2" s="21"/>
      <c r="B2" s="21"/>
      <c r="C2" s="21"/>
      <c r="D2" s="22"/>
      <c r="E2" s="22"/>
      <c r="F2" s="22"/>
      <c r="G2" s="22"/>
      <c r="H2" s="22"/>
      <c r="P2" s="24"/>
    </row>
    <row r="3" spans="1:19" ht="15.75" customHeight="1" x14ac:dyDescent="0.25">
      <c r="A3" s="21"/>
      <c r="B3" s="21"/>
      <c r="C3" s="21"/>
      <c r="D3" s="22"/>
      <c r="E3" s="22"/>
      <c r="F3" s="22"/>
      <c r="G3" s="22"/>
      <c r="H3" s="22"/>
    </row>
    <row r="4" spans="1:19" ht="15.75" customHeight="1" x14ac:dyDescent="0.25">
      <c r="A4" s="21"/>
      <c r="B4" s="21"/>
      <c r="C4" s="21"/>
      <c r="D4" s="22"/>
      <c r="E4" s="22"/>
      <c r="F4" s="22"/>
      <c r="G4" s="22"/>
      <c r="H4" s="22"/>
    </row>
    <row r="5" spans="1:19" ht="15.7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9" ht="15.9" customHeight="1" x14ac:dyDescent="0.25"/>
    <row r="7" spans="1:19" ht="21.75" customHeight="1" x14ac:dyDescent="0.25">
      <c r="A7" s="802" t="s">
        <v>18</v>
      </c>
      <c r="B7" s="802"/>
      <c r="C7" s="802"/>
      <c r="D7" s="802"/>
      <c r="E7" s="802"/>
      <c r="F7" s="802"/>
      <c r="G7" s="802"/>
      <c r="H7" s="802"/>
      <c r="I7" s="802"/>
      <c r="J7" s="802"/>
      <c r="K7" s="802"/>
    </row>
    <row r="8" spans="1:19" ht="15.9" customHeight="1" x14ac:dyDescent="0.25">
      <c r="A8" s="797">
        <f>+K13</f>
        <v>10</v>
      </c>
      <c r="B8" s="797"/>
      <c r="C8" s="797"/>
      <c r="D8" s="797"/>
      <c r="E8" s="797"/>
      <c r="F8" s="797"/>
      <c r="G8" s="797"/>
      <c r="H8" s="797"/>
      <c r="I8" s="797"/>
      <c r="J8" s="797"/>
      <c r="K8" s="797"/>
    </row>
    <row r="9" spans="1:19" ht="15.9" customHeight="1" x14ac:dyDescent="0.25">
      <c r="O9" s="26"/>
    </row>
    <row r="10" spans="1:19" ht="15.9" customHeight="1" x14ac:dyDescent="0.25">
      <c r="A10" s="144" t="s">
        <v>57</v>
      </c>
      <c r="B10" s="28" t="s">
        <v>0</v>
      </c>
      <c r="C10" s="15" t="s">
        <v>22</v>
      </c>
      <c r="D10" s="27"/>
      <c r="E10" s="27"/>
      <c r="F10" s="27"/>
      <c r="G10" s="27"/>
      <c r="H10" s="27"/>
      <c r="I10" s="27"/>
      <c r="J10" s="27"/>
      <c r="K10" s="27"/>
    </row>
    <row r="11" spans="1:19" ht="15.9" customHeight="1" x14ac:dyDescent="0.25">
      <c r="A11" s="144" t="s">
        <v>58</v>
      </c>
      <c r="B11" s="28" t="s">
        <v>0</v>
      </c>
      <c r="C11" s="15" t="s">
        <v>59</v>
      </c>
      <c r="D11" s="29"/>
      <c r="E11" s="29"/>
      <c r="F11" s="29"/>
      <c r="G11" s="29"/>
      <c r="H11" s="29"/>
      <c r="I11" s="30" t="s">
        <v>21</v>
      </c>
      <c r="J11" s="31" t="s">
        <v>0</v>
      </c>
      <c r="K11" s="170" t="s">
        <v>40</v>
      </c>
      <c r="L11" s="32"/>
      <c r="M11" s="32"/>
      <c r="O11" s="33"/>
    </row>
    <row r="12" spans="1:19" ht="15.9" customHeight="1" x14ac:dyDescent="0.25">
      <c r="A12" s="144" t="s">
        <v>66</v>
      </c>
      <c r="B12" s="28" t="s">
        <v>0</v>
      </c>
      <c r="C12" s="15" t="s">
        <v>16</v>
      </c>
      <c r="D12" s="29"/>
      <c r="E12" s="29"/>
      <c r="F12" s="29"/>
      <c r="G12" s="29"/>
      <c r="H12" s="29"/>
      <c r="I12" s="34" t="s">
        <v>17</v>
      </c>
      <c r="J12" s="28" t="s">
        <v>0</v>
      </c>
      <c r="K12" s="35">
        <v>150</v>
      </c>
      <c r="L12" s="32"/>
      <c r="M12" s="32"/>
      <c r="P12" s="36"/>
      <c r="Q12" s="36"/>
      <c r="R12" s="37"/>
      <c r="S12" s="38"/>
    </row>
    <row r="13" spans="1:19" ht="15.9" customHeight="1" x14ac:dyDescent="0.25">
      <c r="A13" s="144" t="s">
        <v>67</v>
      </c>
      <c r="B13" s="28" t="s">
        <v>0</v>
      </c>
      <c r="C13" s="15" t="s">
        <v>23</v>
      </c>
      <c r="D13" s="29"/>
      <c r="E13" s="29"/>
      <c r="F13" s="29"/>
      <c r="G13" s="29"/>
      <c r="H13" s="29"/>
      <c r="I13" s="34" t="s">
        <v>60</v>
      </c>
      <c r="J13" s="28" t="s">
        <v>0</v>
      </c>
      <c r="K13" s="39">
        <v>10</v>
      </c>
      <c r="L13" s="32"/>
      <c r="M13" s="32"/>
      <c r="P13" s="36"/>
      <c r="Q13" s="36"/>
      <c r="R13" s="809"/>
      <c r="S13" s="809"/>
    </row>
    <row r="14" spans="1:19" ht="15.9" customHeight="1" x14ac:dyDescent="0.25">
      <c r="A14" s="148" t="s">
        <v>65</v>
      </c>
      <c r="B14" s="28"/>
      <c r="C14" s="40"/>
      <c r="D14" s="40"/>
      <c r="E14" s="40"/>
      <c r="F14" s="40"/>
      <c r="G14" s="40"/>
      <c r="H14" s="40"/>
      <c r="I14" s="34"/>
      <c r="J14" s="28"/>
      <c r="K14" s="41"/>
      <c r="L14" s="32"/>
      <c r="M14" s="32"/>
      <c r="P14" s="36"/>
      <c r="Q14" s="36"/>
      <c r="R14" s="42"/>
      <c r="S14" s="42"/>
    </row>
    <row r="15" spans="1:19" ht="30" customHeight="1" x14ac:dyDescent="0.25">
      <c r="A15" s="810" t="s">
        <v>24</v>
      </c>
      <c r="B15" s="811"/>
      <c r="C15" s="811"/>
      <c r="D15" s="811"/>
      <c r="E15" s="811"/>
      <c r="F15" s="811"/>
      <c r="G15" s="811"/>
      <c r="H15" s="811"/>
      <c r="I15" s="811"/>
      <c r="J15" s="811"/>
      <c r="K15" s="812"/>
      <c r="L15" s="32"/>
      <c r="M15" s="32"/>
      <c r="P15" s="36"/>
      <c r="Q15" s="36"/>
      <c r="R15" s="42"/>
      <c r="S15" s="42"/>
    </row>
    <row r="16" spans="1:19" ht="18" customHeight="1" x14ac:dyDescent="0.25">
      <c r="A16" s="814" t="s">
        <v>41</v>
      </c>
      <c r="B16" s="815"/>
      <c r="C16" s="815"/>
      <c r="D16" s="815"/>
      <c r="E16" s="815"/>
      <c r="F16" s="815"/>
      <c r="G16" s="815"/>
      <c r="H16" s="815"/>
      <c r="I16" s="815"/>
      <c r="J16" s="815"/>
      <c r="K16" s="816"/>
      <c r="L16" s="32"/>
      <c r="M16" s="32"/>
      <c r="N16" s="23" t="s">
        <v>45</v>
      </c>
      <c r="P16" s="36"/>
      <c r="Q16" s="36"/>
      <c r="R16" s="42"/>
      <c r="S16" s="42"/>
    </row>
    <row r="17" spans="1:30" ht="11.25" customHeight="1" x14ac:dyDescent="0.25">
      <c r="A17" s="798" t="s">
        <v>19</v>
      </c>
      <c r="B17" s="799"/>
      <c r="C17" s="44"/>
      <c r="D17" s="44"/>
      <c r="E17" s="44"/>
      <c r="F17" s="44"/>
      <c r="G17" s="44"/>
      <c r="H17" s="44"/>
      <c r="I17" s="45"/>
      <c r="J17" s="43"/>
      <c r="K17" s="46"/>
      <c r="L17" s="32"/>
      <c r="M17" s="32"/>
      <c r="N17" s="65" t="s">
        <v>27</v>
      </c>
      <c r="O17" s="71">
        <v>5</v>
      </c>
      <c r="P17" s="71">
        <v>3</v>
      </c>
      <c r="Q17" s="72">
        <v>4</v>
      </c>
      <c r="R17" s="73">
        <v>11</v>
      </c>
      <c r="S17" s="73">
        <v>10</v>
      </c>
      <c r="T17" s="112" t="s">
        <v>46</v>
      </c>
      <c r="U17" s="113"/>
      <c r="V17" s="114"/>
      <c r="W17" s="115"/>
      <c r="X17" s="116"/>
      <c r="Y17" s="114"/>
      <c r="Z17" s="117"/>
      <c r="AA17" s="117"/>
      <c r="AB17" s="117"/>
      <c r="AC17" s="117"/>
      <c r="AD17" s="118"/>
    </row>
    <row r="18" spans="1:30" ht="15.9" customHeight="1" x14ac:dyDescent="0.25">
      <c r="A18" s="800"/>
      <c r="B18" s="801"/>
      <c r="C18" s="145"/>
      <c r="D18" s="145"/>
      <c r="E18" s="145"/>
      <c r="F18" s="145"/>
      <c r="G18" s="145"/>
      <c r="H18" s="145"/>
      <c r="I18" s="146" t="s">
        <v>64</v>
      </c>
      <c r="J18" s="48" t="s">
        <v>0</v>
      </c>
      <c r="K18" s="49">
        <v>83</v>
      </c>
      <c r="M18" s="32"/>
      <c r="N18" s="65" t="s">
        <v>26</v>
      </c>
      <c r="O18" s="77">
        <v>34</v>
      </c>
      <c r="P18" s="77">
        <v>23</v>
      </c>
      <c r="Q18" s="71">
        <v>14</v>
      </c>
      <c r="R18" s="78"/>
      <c r="S18" s="79"/>
      <c r="T18" s="119" t="s">
        <v>47</v>
      </c>
      <c r="U18" s="120"/>
      <c r="V18" s="121" t="s">
        <v>48</v>
      </c>
      <c r="W18" s="121"/>
      <c r="X18" s="122"/>
      <c r="Y18" s="121"/>
      <c r="Z18" s="123"/>
      <c r="AA18" s="123"/>
      <c r="AB18" s="123"/>
      <c r="AC18" s="123"/>
      <c r="AD18" s="124"/>
    </row>
    <row r="19" spans="1:30" ht="15.9" customHeight="1" x14ac:dyDescent="0.25">
      <c r="A19" s="164" t="s">
        <v>94</v>
      </c>
      <c r="B19" s="47" t="s">
        <v>0</v>
      </c>
      <c r="C19" s="15" t="s">
        <v>42</v>
      </c>
      <c r="D19" s="47"/>
      <c r="E19" s="19"/>
      <c r="F19" s="15"/>
      <c r="G19" s="15"/>
      <c r="H19" s="19"/>
      <c r="I19" s="146" t="s">
        <v>61</v>
      </c>
      <c r="J19" s="48" t="s">
        <v>0</v>
      </c>
      <c r="K19" s="147">
        <v>43831</v>
      </c>
      <c r="M19" s="32"/>
      <c r="N19" s="65" t="s">
        <v>28</v>
      </c>
      <c r="O19" s="80">
        <v>45.75</v>
      </c>
      <c r="P19" s="80">
        <v>43.9</v>
      </c>
      <c r="Q19" s="81">
        <v>43.66</v>
      </c>
      <c r="R19" s="82">
        <v>23.05</v>
      </c>
      <c r="S19" s="82">
        <v>18.07</v>
      </c>
      <c r="T19" s="125" t="s">
        <v>49</v>
      </c>
      <c r="U19" s="120"/>
      <c r="V19" s="126">
        <v>5.1699999999999998E-7</v>
      </c>
      <c r="W19" s="127"/>
      <c r="X19" s="122"/>
      <c r="Y19" s="121"/>
      <c r="Z19" s="123"/>
      <c r="AA19" s="123"/>
      <c r="AB19" s="123"/>
      <c r="AC19" s="123"/>
      <c r="AD19" s="124"/>
    </row>
    <row r="20" spans="1:30" ht="15.9" customHeight="1" x14ac:dyDescent="0.25">
      <c r="A20" s="164" t="s">
        <v>95</v>
      </c>
      <c r="B20" s="47" t="s">
        <v>0</v>
      </c>
      <c r="C20" s="15" t="s">
        <v>20</v>
      </c>
      <c r="D20" s="47"/>
      <c r="E20" s="19"/>
      <c r="F20" s="15"/>
      <c r="G20" s="15"/>
      <c r="H20" s="19"/>
      <c r="I20" s="146" t="s">
        <v>62</v>
      </c>
      <c r="J20" s="48" t="s">
        <v>0</v>
      </c>
      <c r="K20" s="147">
        <v>43844</v>
      </c>
      <c r="M20" s="32"/>
      <c r="N20" s="65" t="s">
        <v>29</v>
      </c>
      <c r="O20" s="80">
        <v>41.37</v>
      </c>
      <c r="P20" s="80">
        <v>40.03</v>
      </c>
      <c r="Q20" s="81">
        <v>38.78</v>
      </c>
      <c r="R20" s="82">
        <v>22.63</v>
      </c>
      <c r="S20" s="82">
        <v>17.48</v>
      </c>
      <c r="T20" s="128" t="s">
        <v>50</v>
      </c>
      <c r="U20" s="796">
        <v>44090</v>
      </c>
      <c r="V20" s="796"/>
      <c r="W20" s="129"/>
      <c r="X20" s="130"/>
      <c r="Y20" s="129"/>
      <c r="Z20" s="131"/>
      <c r="AA20" s="131"/>
      <c r="AB20" s="131"/>
      <c r="AC20" s="131"/>
      <c r="AD20" s="132"/>
    </row>
    <row r="21" spans="1:30" ht="15.9" customHeight="1" x14ac:dyDescent="0.25">
      <c r="A21" s="164" t="s">
        <v>96</v>
      </c>
      <c r="B21" s="47" t="s">
        <v>0</v>
      </c>
      <c r="C21" s="15" t="s">
        <v>43</v>
      </c>
      <c r="D21" s="47"/>
      <c r="E21" s="19"/>
      <c r="F21" s="15"/>
      <c r="G21" s="15"/>
      <c r="H21" s="19"/>
      <c r="I21" s="146" t="s">
        <v>63</v>
      </c>
      <c r="J21" s="48" t="s">
        <v>0</v>
      </c>
      <c r="K21" s="147">
        <v>43845</v>
      </c>
      <c r="M21" s="32"/>
      <c r="N21" s="65" t="s">
        <v>51</v>
      </c>
      <c r="O21" s="80">
        <v>41.37</v>
      </c>
      <c r="P21" s="80">
        <v>40.03</v>
      </c>
      <c r="Q21" s="81">
        <v>38.78</v>
      </c>
      <c r="R21" s="82">
        <v>22.63</v>
      </c>
      <c r="S21" s="82">
        <v>17.48</v>
      </c>
    </row>
    <row r="22" spans="1:30" ht="12" customHeight="1" x14ac:dyDescent="0.25">
      <c r="A22" s="149" t="s">
        <v>68</v>
      </c>
      <c r="B22" s="150" t="s">
        <v>0</v>
      </c>
      <c r="C22" s="151" t="s">
        <v>69</v>
      </c>
      <c r="D22" s="50"/>
      <c r="E22" s="50"/>
      <c r="F22" s="50"/>
      <c r="G22" s="50"/>
      <c r="H22" s="50"/>
      <c r="I22" s="50"/>
      <c r="J22" s="50"/>
      <c r="K22" s="51"/>
      <c r="M22" s="32"/>
      <c r="N22" s="65" t="s">
        <v>30</v>
      </c>
      <c r="O22" s="80">
        <v>22.74</v>
      </c>
      <c r="P22" s="80">
        <v>24.18</v>
      </c>
      <c r="Q22" s="81">
        <v>19.97</v>
      </c>
      <c r="R22" s="82">
        <v>19.309999999999999</v>
      </c>
      <c r="S22" s="82">
        <v>13.01</v>
      </c>
    </row>
    <row r="23" spans="1:30" ht="18.75" customHeight="1" x14ac:dyDescent="0.25">
      <c r="A23" s="52"/>
      <c r="I23" s="803"/>
      <c r="J23" s="803"/>
      <c r="K23" s="53"/>
      <c r="L23" s="32"/>
      <c r="M23" s="54"/>
      <c r="Q23" s="55"/>
    </row>
    <row r="24" spans="1:30" ht="18.75" customHeight="1" x14ac:dyDescent="0.25">
      <c r="A24" s="56"/>
      <c r="D24" s="805" t="s">
        <v>35</v>
      </c>
      <c r="E24" s="806"/>
      <c r="F24" s="806"/>
      <c r="G24" s="807" t="s">
        <v>34</v>
      </c>
      <c r="H24" s="808"/>
      <c r="I24" s="804"/>
      <c r="J24" s="804"/>
      <c r="K24" s="57"/>
      <c r="L24" s="32"/>
      <c r="M24" s="58"/>
      <c r="N24" s="138" t="s">
        <v>52</v>
      </c>
      <c r="O24" s="817" t="s">
        <v>35</v>
      </c>
      <c r="P24" s="819"/>
      <c r="Q24" s="59" t="s">
        <v>39</v>
      </c>
      <c r="R24" s="817" t="s">
        <v>34</v>
      </c>
      <c r="S24" s="818"/>
      <c r="T24" s="59" t="s">
        <v>39</v>
      </c>
    </row>
    <row r="25" spans="1:30" ht="18.75" customHeight="1" x14ac:dyDescent="0.25">
      <c r="A25" s="793" t="s">
        <v>25</v>
      </c>
      <c r="B25" s="794"/>
      <c r="C25" s="795"/>
      <c r="D25" s="60">
        <f>IF($Q$24="NO","",O25)</f>
        <v>1</v>
      </c>
      <c r="E25" s="60">
        <f>IF($Q$24="NO","",P25)</f>
        <v>2</v>
      </c>
      <c r="F25" s="61">
        <f>IF($Q$24="NO","",Q25)</f>
        <v>3</v>
      </c>
      <c r="G25" s="62">
        <f>IF($T$24="NO","",R25)</f>
        <v>1</v>
      </c>
      <c r="H25" s="60">
        <f>IF($T$24="NO","",S25)</f>
        <v>2</v>
      </c>
      <c r="I25" s="804"/>
      <c r="J25" s="804"/>
      <c r="K25" s="57"/>
      <c r="L25" s="32"/>
      <c r="M25" s="58"/>
      <c r="N25" s="63" t="s">
        <v>25</v>
      </c>
      <c r="O25" s="60">
        <v>1</v>
      </c>
      <c r="P25" s="60">
        <v>2</v>
      </c>
      <c r="Q25" s="61">
        <v>3</v>
      </c>
      <c r="R25" s="64">
        <v>1</v>
      </c>
      <c r="S25" s="64">
        <v>2</v>
      </c>
    </row>
    <row r="26" spans="1:30" ht="18.75" customHeight="1" x14ac:dyDescent="0.25">
      <c r="A26" s="790" t="s">
        <v>27</v>
      </c>
      <c r="B26" s="791"/>
      <c r="C26" s="792"/>
      <c r="D26" s="66">
        <f>IF($Q$24="NO","",O26)</f>
        <v>5</v>
      </c>
      <c r="E26" s="66">
        <f t="shared" ref="E26:F29" si="0">IF($Q$24="NO","",P26)</f>
        <v>3</v>
      </c>
      <c r="F26" s="67">
        <f t="shared" si="0"/>
        <v>4</v>
      </c>
      <c r="G26" s="68">
        <f>IF($T$24="NO","",R26)</f>
        <v>11</v>
      </c>
      <c r="H26" s="66">
        <f>IF($T$24="NO","",S26)</f>
        <v>10</v>
      </c>
      <c r="I26" s="813"/>
      <c r="J26" s="813"/>
      <c r="K26" s="69"/>
      <c r="L26" s="70"/>
      <c r="M26" s="58"/>
      <c r="N26" s="65" t="s">
        <v>27</v>
      </c>
      <c r="O26" s="133">
        <f>O17</f>
        <v>5</v>
      </c>
      <c r="P26" s="133">
        <f t="shared" ref="P26:S26" si="1">P17</f>
        <v>3</v>
      </c>
      <c r="Q26" s="133">
        <f t="shared" si="1"/>
        <v>4</v>
      </c>
      <c r="R26" s="133">
        <f t="shared" si="1"/>
        <v>11</v>
      </c>
      <c r="S26" s="133">
        <f t="shared" si="1"/>
        <v>10</v>
      </c>
    </row>
    <row r="27" spans="1:30" ht="18.75" customHeight="1" x14ac:dyDescent="0.25">
      <c r="A27" s="790" t="s">
        <v>26</v>
      </c>
      <c r="B27" s="791"/>
      <c r="C27" s="792"/>
      <c r="D27" s="66">
        <f t="shared" ref="D27:D29" si="2">IF($Q$24="NO","",O27)</f>
        <v>34</v>
      </c>
      <c r="E27" s="66">
        <f t="shared" si="0"/>
        <v>23</v>
      </c>
      <c r="F27" s="67">
        <f t="shared" si="0"/>
        <v>14</v>
      </c>
      <c r="G27" s="74"/>
      <c r="H27" s="75"/>
      <c r="I27" s="20"/>
      <c r="J27" s="20"/>
      <c r="K27" s="76"/>
      <c r="L27" s="32"/>
      <c r="M27" s="32"/>
      <c r="N27" s="65" t="s">
        <v>26</v>
      </c>
      <c r="O27" s="134">
        <f>O18</f>
        <v>34</v>
      </c>
      <c r="P27" s="134">
        <f t="shared" ref="P27:Q27" si="3">P18</f>
        <v>23</v>
      </c>
      <c r="Q27" s="134">
        <f t="shared" si="3"/>
        <v>14</v>
      </c>
      <c r="R27" s="135"/>
      <c r="S27" s="136"/>
    </row>
    <row r="28" spans="1:30" ht="18.75" customHeight="1" x14ac:dyDescent="0.25">
      <c r="A28" s="790" t="s">
        <v>70</v>
      </c>
      <c r="B28" s="791"/>
      <c r="C28" s="792"/>
      <c r="D28" s="86">
        <f t="shared" si="2"/>
        <v>45.749976347249998</v>
      </c>
      <c r="E28" s="86">
        <f t="shared" si="0"/>
        <v>43.899977303699998</v>
      </c>
      <c r="F28" s="87">
        <f t="shared" si="0"/>
        <v>43.659977427779999</v>
      </c>
      <c r="G28" s="88">
        <f>IF($T$24="NO","",R28)</f>
        <v>23.049988083150001</v>
      </c>
      <c r="H28" s="86">
        <f>IF($T$24="NO","",S28)</f>
        <v>18.069990657809999</v>
      </c>
      <c r="I28" s="20"/>
      <c r="J28" s="20"/>
      <c r="K28" s="76"/>
      <c r="L28" s="32"/>
      <c r="M28" s="32"/>
      <c r="N28" s="65" t="s">
        <v>28</v>
      </c>
      <c r="O28" s="137">
        <f>O19-($V$19*O19)</f>
        <v>45.749976347249998</v>
      </c>
      <c r="P28" s="137">
        <f t="shared" ref="P28:Q28" si="4">P19-($V$19*P19)</f>
        <v>43.899977303699998</v>
      </c>
      <c r="Q28" s="137">
        <f t="shared" si="4"/>
        <v>43.659977427779999</v>
      </c>
      <c r="R28" s="137">
        <f>R19-($V$19*R19)</f>
        <v>23.049988083150001</v>
      </c>
      <c r="S28" s="137">
        <f t="shared" ref="S28" si="5">S19-($V$19*S19)</f>
        <v>18.069990657809999</v>
      </c>
    </row>
    <row r="29" spans="1:30" ht="18.75" customHeight="1" x14ac:dyDescent="0.25">
      <c r="A29" s="790" t="s">
        <v>71</v>
      </c>
      <c r="B29" s="791"/>
      <c r="C29" s="792"/>
      <c r="D29" s="86">
        <f t="shared" si="2"/>
        <v>41.369978611709996</v>
      </c>
      <c r="E29" s="86">
        <f t="shared" si="0"/>
        <v>40.029979304489999</v>
      </c>
      <c r="F29" s="87">
        <f t="shared" si="0"/>
        <v>38.77997995074</v>
      </c>
      <c r="G29" s="88">
        <f t="shared" ref="G29" si="6">IF($T$24="NO","",R29)</f>
        <v>22.629988300289998</v>
      </c>
      <c r="H29" s="86">
        <f t="shared" ref="H29" si="7">IF($T$24="NO","",S29)</f>
        <v>17.479990962839999</v>
      </c>
      <c r="I29" s="20"/>
      <c r="J29" s="20"/>
      <c r="K29" s="76"/>
      <c r="L29" s="32"/>
      <c r="M29" s="32"/>
      <c r="N29" s="65" t="s">
        <v>29</v>
      </c>
      <c r="O29" s="137">
        <f t="shared" ref="O29:Q31" si="8">O20-($V$19*O20)</f>
        <v>41.369978611709996</v>
      </c>
      <c r="P29" s="137">
        <f t="shared" si="8"/>
        <v>40.029979304489999</v>
      </c>
      <c r="Q29" s="137">
        <f t="shared" si="8"/>
        <v>38.77997995074</v>
      </c>
      <c r="R29" s="137">
        <f t="shared" ref="R29:S29" si="9">R20-($V$19*R20)</f>
        <v>22.629988300289998</v>
      </c>
      <c r="S29" s="137">
        <f t="shared" si="9"/>
        <v>17.479990962839999</v>
      </c>
    </row>
    <row r="30" spans="1:30" ht="18.75" customHeight="1" x14ac:dyDescent="0.25">
      <c r="A30" s="790" t="s">
        <v>72</v>
      </c>
      <c r="B30" s="791"/>
      <c r="C30" s="792"/>
      <c r="D30" s="86">
        <f t="shared" ref="D30:F33" si="10">IF($Q$24="NO","",O31)</f>
        <v>22.739988243419997</v>
      </c>
      <c r="E30" s="86">
        <f t="shared" si="10"/>
        <v>24.179987498940001</v>
      </c>
      <c r="F30" s="87">
        <f t="shared" si="10"/>
        <v>19.96998967551</v>
      </c>
      <c r="G30" s="88">
        <f t="shared" ref="G30:H33" si="11">IF($T$24="NO","",R31)</f>
        <v>19.309990016729998</v>
      </c>
      <c r="H30" s="86">
        <f t="shared" si="11"/>
        <v>13.00999327383</v>
      </c>
      <c r="I30" s="20"/>
      <c r="J30" s="20"/>
      <c r="K30" s="76"/>
      <c r="L30" s="32"/>
      <c r="M30" s="32"/>
      <c r="N30" s="65" t="s">
        <v>51</v>
      </c>
      <c r="O30" s="137">
        <f t="shared" si="8"/>
        <v>41.369978611709996</v>
      </c>
      <c r="P30" s="137">
        <f t="shared" si="8"/>
        <v>40.029979304489999</v>
      </c>
      <c r="Q30" s="137">
        <f t="shared" si="8"/>
        <v>38.77997995074</v>
      </c>
      <c r="R30" s="137">
        <f t="shared" ref="R30:S30" si="12">R21-($V$19*R21)</f>
        <v>22.629988300289998</v>
      </c>
      <c r="S30" s="137">
        <f t="shared" si="12"/>
        <v>17.479990962839999</v>
      </c>
    </row>
    <row r="31" spans="1:30" ht="18.75" customHeight="1" x14ac:dyDescent="0.25">
      <c r="A31" s="790" t="s">
        <v>73</v>
      </c>
      <c r="B31" s="791"/>
      <c r="C31" s="792"/>
      <c r="D31" s="86">
        <f t="shared" si="10"/>
        <v>4.3799977355400017</v>
      </c>
      <c r="E31" s="86">
        <f t="shared" si="10"/>
        <v>3.8699979992099998</v>
      </c>
      <c r="F31" s="87">
        <f t="shared" si="10"/>
        <v>4.8799974770399999</v>
      </c>
      <c r="G31" s="88">
        <f t="shared" si="11"/>
        <v>0.41999978286000328</v>
      </c>
      <c r="H31" s="86">
        <f t="shared" si="11"/>
        <v>0.58999969497000038</v>
      </c>
      <c r="I31" s="20"/>
      <c r="J31" s="20"/>
      <c r="K31" s="76"/>
      <c r="L31" s="32"/>
      <c r="M31" s="32"/>
      <c r="N31" s="65" t="s">
        <v>30</v>
      </c>
      <c r="O31" s="137">
        <f t="shared" si="8"/>
        <v>22.739988243419997</v>
      </c>
      <c r="P31" s="137">
        <f t="shared" si="8"/>
        <v>24.179987498940001</v>
      </c>
      <c r="Q31" s="137">
        <f t="shared" si="8"/>
        <v>19.96998967551</v>
      </c>
      <c r="R31" s="137">
        <f t="shared" ref="R31:S31" si="13">R22-($V$19*R22)</f>
        <v>19.309990016729998</v>
      </c>
      <c r="S31" s="137">
        <f t="shared" si="13"/>
        <v>13.00999327383</v>
      </c>
    </row>
    <row r="32" spans="1:30" ht="18.75" customHeight="1" x14ac:dyDescent="0.25">
      <c r="A32" s="790" t="s">
        <v>74</v>
      </c>
      <c r="B32" s="791"/>
      <c r="C32" s="792"/>
      <c r="D32" s="86">
        <f t="shared" si="10"/>
        <v>18.629990368289999</v>
      </c>
      <c r="E32" s="86">
        <f t="shared" si="10"/>
        <v>15.849991805549998</v>
      </c>
      <c r="F32" s="87">
        <f t="shared" si="10"/>
        <v>18.80999027523</v>
      </c>
      <c r="G32" s="88">
        <f t="shared" si="11"/>
        <v>3.3199982835600004</v>
      </c>
      <c r="H32" s="86">
        <f t="shared" si="11"/>
        <v>4.4699976890099986</v>
      </c>
      <c r="I32" s="20"/>
      <c r="J32" s="20"/>
      <c r="K32" s="76"/>
      <c r="L32" s="32"/>
      <c r="M32" s="32"/>
      <c r="N32" s="65" t="s">
        <v>31</v>
      </c>
      <c r="O32" s="83">
        <f>+O28-O30</f>
        <v>4.3799977355400017</v>
      </c>
      <c r="P32" s="83">
        <f t="shared" ref="P32:S32" si="14">+P28-P30</f>
        <v>3.8699979992099998</v>
      </c>
      <c r="Q32" s="83">
        <f t="shared" si="14"/>
        <v>4.8799974770399999</v>
      </c>
      <c r="R32" s="83">
        <f t="shared" si="14"/>
        <v>0.41999978286000328</v>
      </c>
      <c r="S32" s="83">
        <f t="shared" si="14"/>
        <v>0.58999969497000038</v>
      </c>
    </row>
    <row r="33" spans="1:19" ht="18.75" customHeight="1" x14ac:dyDescent="0.25">
      <c r="A33" s="793" t="s">
        <v>33</v>
      </c>
      <c r="B33" s="794"/>
      <c r="C33" s="795"/>
      <c r="D33" s="86">
        <f t="shared" si="10"/>
        <v>23.510466988727867</v>
      </c>
      <c r="E33" s="86">
        <f t="shared" si="10"/>
        <v>24.41640378548896</v>
      </c>
      <c r="F33" s="87">
        <f t="shared" si="10"/>
        <v>25.943646996278574</v>
      </c>
      <c r="G33" s="88">
        <f t="shared" si="11"/>
        <v>12.650602409638651</v>
      </c>
      <c r="H33" s="86">
        <f t="shared" si="11"/>
        <v>13.199105145413883</v>
      </c>
      <c r="I33" s="20"/>
      <c r="J33" s="20"/>
      <c r="K33" s="76"/>
      <c r="L33" s="32"/>
      <c r="M33" s="32"/>
      <c r="N33" s="65" t="s">
        <v>32</v>
      </c>
      <c r="O33" s="83">
        <f>O30-O31</f>
        <v>18.629990368289999</v>
      </c>
      <c r="P33" s="83">
        <f t="shared" ref="P33:S33" si="15">P30-P31</f>
        <v>15.849991805549998</v>
      </c>
      <c r="Q33" s="83">
        <f t="shared" si="15"/>
        <v>18.80999027523</v>
      </c>
      <c r="R33" s="83">
        <f t="shared" si="15"/>
        <v>3.3199982835600004</v>
      </c>
      <c r="S33" s="83">
        <f t="shared" si="15"/>
        <v>4.4699976890099986</v>
      </c>
    </row>
    <row r="34" spans="1:19" ht="18.75" customHeight="1" x14ac:dyDescent="0.25">
      <c r="A34" s="89"/>
      <c r="G34" s="20"/>
      <c r="H34" s="20"/>
      <c r="I34" s="20"/>
      <c r="J34" s="20"/>
      <c r="K34" s="76"/>
      <c r="L34" s="32"/>
      <c r="M34" s="32"/>
      <c r="N34" s="65" t="s">
        <v>33</v>
      </c>
      <c r="O34" s="83">
        <f>+O32/O33*100</f>
        <v>23.510466988727867</v>
      </c>
      <c r="P34" s="83">
        <f>+P32/P33*100</f>
        <v>24.41640378548896</v>
      </c>
      <c r="Q34" s="84">
        <f>+Q32/Q33*100</f>
        <v>25.943646996278574</v>
      </c>
      <c r="R34" s="85">
        <f>+R32/R33*100</f>
        <v>12.650602409638651</v>
      </c>
      <c r="S34" s="85">
        <f>+S32/S33*100</f>
        <v>13.199105145413883</v>
      </c>
    </row>
    <row r="35" spans="1:19" ht="18.75" customHeight="1" x14ac:dyDescent="0.25">
      <c r="A35" s="56"/>
      <c r="D35" s="20"/>
      <c r="E35" s="20"/>
      <c r="F35" s="20"/>
      <c r="J35" s="20"/>
      <c r="K35" s="76"/>
      <c r="L35" s="32"/>
      <c r="M35" s="32"/>
      <c r="N35" s="91" t="s">
        <v>37</v>
      </c>
      <c r="O35" s="91" t="s">
        <v>38</v>
      </c>
      <c r="P35" s="92"/>
      <c r="Q35" s="93"/>
      <c r="R35" s="90"/>
      <c r="S35" s="90"/>
    </row>
    <row r="36" spans="1:19" ht="18.75" customHeight="1" x14ac:dyDescent="0.25">
      <c r="A36" s="56"/>
      <c r="B36" s="94"/>
      <c r="C36" s="17"/>
      <c r="D36" s="17"/>
      <c r="E36" s="17"/>
      <c r="F36" s="17"/>
      <c r="G36" s="781" t="s">
        <v>75</v>
      </c>
      <c r="H36" s="782"/>
      <c r="I36" s="152">
        <f>+IF(Q24="NO","NP",ROUND(O49,0))</f>
        <v>24</v>
      </c>
      <c r="J36" s="20"/>
      <c r="K36" s="76"/>
      <c r="L36" s="32"/>
      <c r="M36" s="32"/>
      <c r="N36" s="95">
        <f>+D27</f>
        <v>34</v>
      </c>
      <c r="O36" s="96">
        <f>+D33</f>
        <v>23.510466988727867</v>
      </c>
      <c r="P36" s="92"/>
      <c r="Q36" s="97"/>
      <c r="R36" s="90"/>
      <c r="S36" s="90"/>
    </row>
    <row r="37" spans="1:19" ht="18.75" customHeight="1" x14ac:dyDescent="0.25">
      <c r="A37" s="56"/>
      <c r="B37" s="13"/>
      <c r="C37" s="17"/>
      <c r="D37" s="17"/>
      <c r="E37" s="17"/>
      <c r="F37" s="17"/>
      <c r="I37" s="24"/>
      <c r="J37" s="20"/>
      <c r="K37" s="76"/>
      <c r="L37" s="32"/>
      <c r="M37" s="32"/>
      <c r="N37" s="95">
        <f>+E27</f>
        <v>23</v>
      </c>
      <c r="O37" s="96">
        <f>+E33</f>
        <v>24.41640378548896</v>
      </c>
      <c r="P37" s="92"/>
      <c r="Q37" s="97"/>
      <c r="R37" s="90"/>
      <c r="S37" s="90"/>
    </row>
    <row r="38" spans="1:19" ht="18.75" customHeight="1" x14ac:dyDescent="0.25">
      <c r="A38" s="14"/>
      <c r="B38" s="13"/>
      <c r="C38" s="17"/>
      <c r="D38" s="17"/>
      <c r="E38" s="17"/>
      <c r="F38" s="17"/>
      <c r="G38" s="781" t="s">
        <v>76</v>
      </c>
      <c r="H38" s="782"/>
      <c r="I38" s="152">
        <f>+IF(T24="NO","NP",ROUND(O42,0))</f>
        <v>13</v>
      </c>
      <c r="J38" s="20"/>
      <c r="K38" s="76"/>
      <c r="L38" s="32"/>
      <c r="M38" s="32"/>
      <c r="N38" s="98">
        <f>+F27</f>
        <v>14</v>
      </c>
      <c r="O38" s="99">
        <f>+F33</f>
        <v>25.943646996278574</v>
      </c>
      <c r="P38" s="92"/>
      <c r="Q38" s="100"/>
      <c r="R38" s="101"/>
      <c r="S38" s="101"/>
    </row>
    <row r="39" spans="1:19" ht="18.75" customHeight="1" x14ac:dyDescent="0.25">
      <c r="A39" s="14"/>
      <c r="B39" s="13"/>
      <c r="C39" s="17"/>
      <c r="D39" s="94"/>
      <c r="E39" s="17"/>
      <c r="F39" s="17"/>
      <c r="I39" s="24"/>
      <c r="J39" s="20"/>
      <c r="K39" s="76"/>
      <c r="L39" s="32"/>
      <c r="M39" s="32"/>
      <c r="N39" s="91">
        <v>25</v>
      </c>
      <c r="O39" s="91">
        <v>0</v>
      </c>
      <c r="P39" s="92"/>
      <c r="Q39" s="100"/>
      <c r="R39" s="101"/>
      <c r="S39" s="101"/>
    </row>
    <row r="40" spans="1:19" ht="18.75" customHeight="1" x14ac:dyDescent="0.25">
      <c r="A40" s="102"/>
      <c r="B40" s="19"/>
      <c r="C40" s="19"/>
      <c r="D40" s="19"/>
      <c r="E40" s="19"/>
      <c r="F40" s="19"/>
      <c r="G40" s="781" t="s">
        <v>77</v>
      </c>
      <c r="H40" s="782"/>
      <c r="I40" s="152">
        <f>IF(T24="NO","NP",I36-I38)</f>
        <v>11</v>
      </c>
      <c r="J40" s="20"/>
      <c r="K40" s="76"/>
      <c r="L40" s="32"/>
      <c r="M40" s="32"/>
      <c r="N40" s="95">
        <v>25</v>
      </c>
      <c r="O40" s="96">
        <f>P41</f>
        <v>24.315695689796172</v>
      </c>
      <c r="P40" s="103">
        <f>+D33/(1.419-0.3*LOG10(D27))</f>
        <v>24.501393382497476</v>
      </c>
      <c r="Q40" s="103">
        <f>+F33/(1.419-0.3*LOG10(F27))</f>
        <v>24.129997997094868</v>
      </c>
      <c r="R40" s="101"/>
      <c r="S40" s="101"/>
    </row>
    <row r="41" spans="1:19" ht="18.75" customHeight="1" x14ac:dyDescent="0.25">
      <c r="A41" s="102"/>
      <c r="B41" s="17"/>
      <c r="C41" s="17"/>
      <c r="D41" s="17"/>
      <c r="E41" s="17"/>
      <c r="F41" s="17"/>
      <c r="J41" s="20"/>
      <c r="K41" s="76"/>
      <c r="L41" s="32"/>
      <c r="M41" s="32"/>
      <c r="N41" s="98">
        <v>10</v>
      </c>
      <c r="O41" s="99">
        <f>+O40</f>
        <v>24.315695689796172</v>
      </c>
      <c r="P41" s="103">
        <f>+AVERAGE(P40:Q40)</f>
        <v>24.315695689796172</v>
      </c>
      <c r="Q41" s="103"/>
    </row>
    <row r="42" spans="1:19" ht="18.75" customHeight="1" x14ac:dyDescent="0.25">
      <c r="A42" s="104"/>
      <c r="B42" s="105"/>
      <c r="C42" s="105"/>
      <c r="D42" s="105"/>
      <c r="E42" s="105"/>
      <c r="F42" s="105"/>
      <c r="G42" s="105"/>
      <c r="H42" s="106"/>
      <c r="I42" s="106"/>
      <c r="J42" s="106"/>
      <c r="K42" s="107"/>
      <c r="L42" s="32"/>
      <c r="M42" s="32"/>
      <c r="N42" s="109" t="s">
        <v>36</v>
      </c>
      <c r="O42" s="110">
        <f>AVERAGE(R34:S34)</f>
        <v>12.924853777526266</v>
      </c>
      <c r="P42" s="90"/>
      <c r="Q42" s="108"/>
    </row>
    <row r="43" spans="1:19" ht="15.9" customHeight="1" x14ac:dyDescent="0.25">
      <c r="A43" s="94"/>
      <c r="B43" s="17"/>
      <c r="C43" s="17"/>
      <c r="D43" s="17"/>
      <c r="E43" s="17"/>
      <c r="F43" s="17"/>
      <c r="G43" s="17"/>
      <c r="H43" s="20"/>
      <c r="I43" s="20"/>
      <c r="J43" s="20"/>
      <c r="K43" s="20"/>
      <c r="L43" s="32"/>
      <c r="M43" s="32"/>
    </row>
    <row r="44" spans="1:19" ht="15.9" customHeight="1" x14ac:dyDescent="0.25">
      <c r="A44" s="144" t="s">
        <v>99</v>
      </c>
      <c r="B44" s="17"/>
      <c r="C44" s="17"/>
      <c r="D44" s="17"/>
      <c r="E44" s="17"/>
      <c r="F44" s="17"/>
      <c r="G44" s="17"/>
      <c r="H44" s="20"/>
      <c r="I44" s="20"/>
      <c r="J44" s="20"/>
      <c r="K44" s="20"/>
      <c r="L44" s="32"/>
      <c r="M44" s="32"/>
    </row>
    <row r="45" spans="1:19" ht="15.9" customHeight="1" x14ac:dyDescent="0.25">
      <c r="A45" s="166"/>
      <c r="B45" s="105"/>
      <c r="C45" s="105"/>
      <c r="D45" s="105"/>
      <c r="E45" s="105"/>
      <c r="F45" s="105"/>
      <c r="G45" s="17"/>
      <c r="H45" s="20"/>
      <c r="I45" s="20"/>
      <c r="J45" s="20"/>
      <c r="K45" s="20"/>
      <c r="L45" s="32"/>
      <c r="M45" s="32"/>
      <c r="N45" s="23">
        <v>25</v>
      </c>
      <c r="O45" s="111">
        <f>LOG10(N45)</f>
        <v>1.3979400086720377</v>
      </c>
    </row>
    <row r="46" spans="1:19" ht="15.9" customHeight="1" x14ac:dyDescent="0.25">
      <c r="A46" s="16"/>
      <c r="B46" s="17"/>
      <c r="C46" s="17"/>
      <c r="D46" s="17"/>
      <c r="E46" s="17"/>
      <c r="F46" s="17"/>
      <c r="G46" s="17"/>
      <c r="H46" s="20"/>
      <c r="I46" s="20"/>
      <c r="J46" s="20"/>
      <c r="K46" s="20"/>
      <c r="L46" s="32"/>
      <c r="M46" s="32"/>
      <c r="O46" s="139">
        <f>O18</f>
        <v>34</v>
      </c>
      <c r="P46" s="139">
        <f>P27</f>
        <v>23</v>
      </c>
      <c r="Q46" s="139">
        <f>Q27</f>
        <v>14</v>
      </c>
    </row>
    <row r="47" spans="1:19" ht="15.9" customHeight="1" x14ac:dyDescent="0.25">
      <c r="A47" s="18" t="s">
        <v>97</v>
      </c>
      <c r="B47" s="17"/>
      <c r="C47" s="17"/>
      <c r="D47" s="17"/>
      <c r="E47" s="17"/>
      <c r="F47" s="17"/>
      <c r="G47" s="17"/>
      <c r="H47" s="20"/>
      <c r="I47" s="20"/>
      <c r="J47" s="20"/>
      <c r="K47" s="20"/>
      <c r="L47" s="32"/>
      <c r="M47" s="32"/>
      <c r="N47" s="23" t="s">
        <v>53</v>
      </c>
      <c r="O47" s="139">
        <f>LOG10(N36)</f>
        <v>1.5314789170422551</v>
      </c>
      <c r="P47" s="139">
        <f>LOG10(N37)</f>
        <v>1.3617278360175928</v>
      </c>
      <c r="Q47" s="139">
        <f>LOG10(N38)</f>
        <v>1.146128035678238</v>
      </c>
    </row>
    <row r="48" spans="1:19" ht="15.9" customHeight="1" x14ac:dyDescent="0.25">
      <c r="A48" s="18" t="s">
        <v>44</v>
      </c>
      <c r="B48" s="19"/>
      <c r="C48" s="19"/>
      <c r="D48" s="17"/>
      <c r="E48" s="17"/>
      <c r="F48" s="17"/>
      <c r="G48" s="17"/>
      <c r="H48" s="20"/>
      <c r="I48" s="20"/>
      <c r="J48" s="20"/>
      <c r="K48" s="20"/>
      <c r="L48" s="32"/>
      <c r="M48" s="32"/>
      <c r="N48" s="23" t="s">
        <v>54</v>
      </c>
      <c r="O48" s="141">
        <f>O34</f>
        <v>23.510466988727867</v>
      </c>
      <c r="P48" s="141">
        <f t="shared" ref="P48:Q48" si="16">P34</f>
        <v>24.41640378548896</v>
      </c>
      <c r="Q48" s="141">
        <f t="shared" si="16"/>
        <v>25.943646996278574</v>
      </c>
    </row>
    <row r="49" spans="1:17" ht="15.9" customHeight="1" x14ac:dyDescent="0.25">
      <c r="A49" s="18"/>
      <c r="B49" s="19"/>
      <c r="C49" s="19"/>
      <c r="D49" s="17"/>
      <c r="E49" s="17"/>
      <c r="F49" s="17"/>
      <c r="G49" s="17"/>
      <c r="H49" s="20"/>
      <c r="I49" s="20"/>
      <c r="J49" s="20"/>
      <c r="K49" s="20"/>
      <c r="L49" s="32"/>
      <c r="M49" s="32"/>
      <c r="N49" s="23" t="s">
        <v>55</v>
      </c>
      <c r="O49" s="142">
        <f>TREND(O48:Q48,O47:Q47,O45)</f>
        <v>24.29660577391553</v>
      </c>
    </row>
    <row r="50" spans="1:17" ht="15.9" customHeight="1" x14ac:dyDescent="0.25">
      <c r="A50" s="18"/>
      <c r="B50" s="19"/>
      <c r="C50" s="19"/>
      <c r="D50" s="17"/>
      <c r="E50" s="17"/>
      <c r="F50" s="17"/>
      <c r="G50" s="17"/>
      <c r="H50" s="20"/>
      <c r="I50" s="20"/>
      <c r="J50" s="20"/>
      <c r="K50" s="20"/>
      <c r="L50" s="32"/>
      <c r="M50" s="32"/>
      <c r="N50" s="154"/>
      <c r="O50" s="140">
        <f>RSQ(O34:Q34,O27:Q27)</f>
        <v>0.95894159057179529</v>
      </c>
      <c r="P50" s="143" t="s">
        <v>56</v>
      </c>
    </row>
    <row r="51" spans="1:17" ht="15.9" customHeight="1" x14ac:dyDescent="0.25">
      <c r="A51" s="18"/>
      <c r="B51" s="19"/>
      <c r="C51" s="19"/>
      <c r="D51" s="17"/>
      <c r="E51" s="17"/>
      <c r="F51" s="17"/>
      <c r="G51" s="17"/>
      <c r="H51" s="20"/>
      <c r="I51" s="20"/>
      <c r="J51" s="20"/>
      <c r="K51" s="20"/>
      <c r="L51" s="32"/>
      <c r="M51" s="32"/>
      <c r="O51" s="165"/>
      <c r="P51" s="165"/>
      <c r="Q51" s="165"/>
    </row>
    <row r="52" spans="1:17" ht="15.9" customHeight="1" x14ac:dyDescent="0.25">
      <c r="A52" s="18"/>
      <c r="B52" s="19"/>
      <c r="C52" s="19"/>
      <c r="D52" s="17"/>
      <c r="E52" s="17"/>
      <c r="F52" s="17"/>
      <c r="G52" s="17"/>
      <c r="H52" s="20"/>
      <c r="I52" s="20"/>
      <c r="J52" s="20"/>
      <c r="K52" s="20"/>
      <c r="L52" s="32"/>
      <c r="M52" s="32"/>
      <c r="O52" s="165"/>
      <c r="P52" s="165"/>
      <c r="Q52" s="165"/>
    </row>
    <row r="53" spans="1:17" ht="15.9" customHeight="1" x14ac:dyDescent="0.25">
      <c r="A53" s="18"/>
      <c r="B53" s="19"/>
      <c r="C53" s="19"/>
      <c r="D53" s="17"/>
      <c r="E53" s="17"/>
      <c r="F53" s="17"/>
      <c r="G53" s="17"/>
      <c r="H53" s="20"/>
      <c r="I53" s="20"/>
      <c r="J53" s="20"/>
      <c r="K53" s="20"/>
      <c r="L53" s="32"/>
      <c r="M53" s="32"/>
      <c r="O53" s="165"/>
      <c r="P53" s="165"/>
      <c r="Q53" s="165"/>
    </row>
    <row r="54" spans="1:17" ht="15.9" customHeight="1" x14ac:dyDescent="0.25">
      <c r="A54" s="18"/>
      <c r="B54" s="19"/>
      <c r="C54" s="19"/>
      <c r="D54" s="17"/>
      <c r="E54" s="17"/>
      <c r="F54" s="17"/>
      <c r="G54" s="17"/>
      <c r="H54" s="20"/>
      <c r="I54" s="20"/>
      <c r="J54" s="20"/>
      <c r="K54" s="20"/>
      <c r="L54" s="32"/>
      <c r="M54" s="32"/>
      <c r="O54" s="165"/>
      <c r="P54" s="165"/>
      <c r="Q54" s="165"/>
    </row>
    <row r="55" spans="1:17" ht="15.9" customHeight="1" x14ac:dyDescent="0.25">
      <c r="A55" s="18"/>
      <c r="B55" s="19"/>
      <c r="C55" s="19"/>
      <c r="D55" s="17"/>
      <c r="E55" s="17"/>
      <c r="F55" s="17"/>
      <c r="G55" s="17"/>
      <c r="H55" s="20"/>
      <c r="I55" s="20"/>
      <c r="J55" s="20"/>
      <c r="K55" s="20"/>
      <c r="L55" s="32"/>
      <c r="M55" s="32"/>
      <c r="O55" s="165"/>
      <c r="P55" s="165"/>
      <c r="Q55" s="165"/>
    </row>
    <row r="56" spans="1:17" ht="15.9" customHeight="1" x14ac:dyDescent="0.25">
      <c r="A56" s="155" t="s">
        <v>98</v>
      </c>
      <c r="B56"/>
      <c r="C56"/>
      <c r="D56"/>
      <c r="E56"/>
      <c r="F56"/>
      <c r="G56"/>
      <c r="H56"/>
      <c r="I56"/>
      <c r="J56"/>
      <c r="K56"/>
      <c r="L56" s="32"/>
      <c r="M56" s="32"/>
    </row>
    <row r="57" spans="1:17" ht="19.5" customHeight="1" x14ac:dyDescent="0.25">
      <c r="A57" s="167" t="s">
        <v>82</v>
      </c>
      <c r="B57" s="167"/>
      <c r="C57" s="168"/>
      <c r="D57" s="168"/>
      <c r="E57" s="168"/>
      <c r="F57" s="169"/>
      <c r="G57" s="169"/>
      <c r="H57" s="786" t="s">
        <v>101</v>
      </c>
      <c r="I57" s="787"/>
      <c r="J57" s="787"/>
      <c r="K57" s="788"/>
      <c r="L57" s="32"/>
      <c r="M57" s="32"/>
    </row>
    <row r="58" spans="1:17" ht="19.5" customHeight="1" x14ac:dyDescent="0.25">
      <c r="A58" s="167" t="s">
        <v>83</v>
      </c>
      <c r="B58" s="167"/>
      <c r="C58" s="168"/>
      <c r="D58" s="168"/>
      <c r="E58" s="168"/>
      <c r="F58" s="169"/>
      <c r="G58" s="169"/>
      <c r="H58" s="786" t="s">
        <v>102</v>
      </c>
      <c r="I58" s="787"/>
      <c r="J58" s="787"/>
      <c r="K58" s="788"/>
      <c r="L58" s="32"/>
      <c r="M58" s="32"/>
    </row>
    <row r="59" spans="1:17" ht="19.5" customHeight="1" x14ac:dyDescent="0.25">
      <c r="A59" s="785" t="s">
        <v>84</v>
      </c>
      <c r="B59" s="785"/>
      <c r="C59" s="785"/>
      <c r="D59" s="785"/>
      <c r="E59" s="785"/>
      <c r="F59" s="785"/>
      <c r="G59" s="785"/>
      <c r="H59" s="786">
        <v>23</v>
      </c>
      <c r="I59" s="787"/>
      <c r="J59" s="787"/>
      <c r="K59" s="788"/>
      <c r="L59" s="32"/>
      <c r="M59" s="32"/>
      <c r="N59" s="153"/>
    </row>
    <row r="60" spans="1:17" ht="19.5" customHeight="1" x14ac:dyDescent="0.25">
      <c r="A60" s="167" t="s">
        <v>85</v>
      </c>
      <c r="B60" s="167"/>
      <c r="C60" s="168"/>
      <c r="D60" s="168"/>
      <c r="E60" s="168"/>
      <c r="F60" s="169"/>
      <c r="G60" s="169"/>
      <c r="H60" s="786" t="s">
        <v>103</v>
      </c>
      <c r="I60" s="787"/>
      <c r="J60" s="787"/>
      <c r="K60" s="788"/>
      <c r="L60" s="32"/>
      <c r="M60" s="32"/>
    </row>
    <row r="61" spans="1:17" ht="19.5" customHeight="1" x14ac:dyDescent="0.25">
      <c r="A61" s="785" t="s">
        <v>86</v>
      </c>
      <c r="B61" s="785"/>
      <c r="C61" s="785"/>
      <c r="D61" s="785"/>
      <c r="E61" s="785"/>
      <c r="F61" s="785"/>
      <c r="G61" s="785"/>
      <c r="H61" s="786" t="s">
        <v>104</v>
      </c>
      <c r="I61" s="787"/>
      <c r="J61" s="787"/>
      <c r="K61" s="788"/>
      <c r="L61" s="32"/>
      <c r="M61" s="32"/>
    </row>
    <row r="62" spans="1:17" x14ac:dyDescent="0.25">
      <c r="A62" s="172"/>
      <c r="H62" s="172"/>
      <c r="I62" s="172"/>
      <c r="J62" s="173"/>
      <c r="K62" s="173"/>
      <c r="L62" s="173"/>
      <c r="M62" s="174"/>
      <c r="N62" s="171"/>
    </row>
    <row r="63" spans="1:17" x14ac:dyDescent="0.25">
      <c r="H63" s="172"/>
      <c r="I63" s="172"/>
      <c r="J63" s="173"/>
      <c r="K63" s="173"/>
      <c r="L63" s="173"/>
      <c r="M63" s="174"/>
      <c r="N63" s="171"/>
    </row>
    <row r="64" spans="1:17" x14ac:dyDescent="0.25">
      <c r="A64" s="155" t="s">
        <v>87</v>
      </c>
      <c r="B64" s="156"/>
      <c r="C64" s="156"/>
      <c r="D64" s="156"/>
      <c r="H64" s="789"/>
      <c r="I64" s="789"/>
      <c r="J64" s="789"/>
      <c r="K64" s="789"/>
      <c r="L64" s="789"/>
      <c r="M64" s="789"/>
      <c r="N64" s="789"/>
    </row>
    <row r="65" spans="1:14" x14ac:dyDescent="0.25">
      <c r="A65" s="157" t="s">
        <v>88</v>
      </c>
      <c r="B65"/>
      <c r="D65" s="158" t="s">
        <v>43</v>
      </c>
      <c r="I65" s="172"/>
      <c r="J65" s="173"/>
      <c r="K65" s="173"/>
      <c r="L65" s="173"/>
      <c r="M65" s="174"/>
      <c r="N65" s="171"/>
    </row>
    <row r="66" spans="1:14" x14ac:dyDescent="0.25">
      <c r="A66" s="157" t="s">
        <v>89</v>
      </c>
      <c r="B66"/>
      <c r="D66" s="158" t="s">
        <v>90</v>
      </c>
    </row>
    <row r="67" spans="1:14" x14ac:dyDescent="0.25">
      <c r="A67" s="157" t="s">
        <v>91</v>
      </c>
      <c r="B67"/>
      <c r="D67" s="159">
        <v>0.375</v>
      </c>
    </row>
    <row r="68" spans="1:14" x14ac:dyDescent="0.25">
      <c r="A68" s="157" t="s">
        <v>92</v>
      </c>
      <c r="B68" s="160"/>
      <c r="D68" s="161" t="s">
        <v>93</v>
      </c>
    </row>
    <row r="69" spans="1:14" x14ac:dyDescent="0.25">
      <c r="A69" s="162"/>
      <c r="B69" s="160"/>
      <c r="D69" s="161"/>
    </row>
    <row r="70" spans="1:14" x14ac:dyDescent="0.25">
      <c r="A70" s="18" t="s">
        <v>100</v>
      </c>
      <c r="B70" s="160"/>
      <c r="D70" s="161"/>
    </row>
    <row r="71" spans="1:14" x14ac:dyDescent="0.25">
      <c r="A71" s="18" t="s">
        <v>44</v>
      </c>
      <c r="B71" s="160"/>
      <c r="D71" s="161"/>
      <c r="H71" s="784" t="s">
        <v>81</v>
      </c>
      <c r="I71" s="784"/>
      <c r="J71" s="784"/>
      <c r="K71" s="784"/>
    </row>
    <row r="72" spans="1:14" x14ac:dyDescent="0.25">
      <c r="A72" s="18"/>
      <c r="B72" s="160"/>
      <c r="D72" s="161"/>
    </row>
    <row r="73" spans="1:14" x14ac:dyDescent="0.25">
      <c r="A73" s="163" t="s">
        <v>78</v>
      </c>
      <c r="B73" s="160"/>
      <c r="D73" s="161"/>
    </row>
    <row r="74" spans="1:14" x14ac:dyDescent="0.25">
      <c r="A74" s="163" t="s">
        <v>80</v>
      </c>
    </row>
    <row r="75" spans="1:14" ht="24" customHeight="1" x14ac:dyDescent="0.25">
      <c r="A75" s="783" t="s">
        <v>79</v>
      </c>
      <c r="B75" s="783"/>
      <c r="C75" s="783"/>
      <c r="D75" s="783"/>
      <c r="E75" s="783"/>
      <c r="F75" s="783"/>
      <c r="G75" s="783"/>
      <c r="H75" s="783"/>
      <c r="I75" s="783"/>
      <c r="J75" s="783"/>
      <c r="K75" s="783"/>
    </row>
    <row r="76" spans="1:14" ht="12.75" customHeight="1" x14ac:dyDescent="0.25">
      <c r="A76" s="783"/>
      <c r="B76" s="783"/>
      <c r="C76" s="783"/>
      <c r="D76" s="783"/>
      <c r="E76" s="783"/>
      <c r="F76" s="783"/>
      <c r="G76" s="783"/>
      <c r="H76" s="783"/>
      <c r="I76" s="783"/>
      <c r="J76" s="783"/>
      <c r="K76" s="783"/>
    </row>
    <row r="78" spans="1:14" ht="19.5" customHeight="1" x14ac:dyDescent="0.25"/>
  </sheetData>
  <protectedRanges>
    <protectedRange sqref="C12:C14 C17" name="Rango3_3_1_1_1_1_1_1_1_1"/>
    <protectedRange sqref="C10:C11" name="Rango3_3_1_1_1_1_1_2_1_1"/>
  </protectedRanges>
  <mergeCells count="38">
    <mergeCell ref="U20:V20"/>
    <mergeCell ref="A8:K8"/>
    <mergeCell ref="A17:B18"/>
    <mergeCell ref="A26:C26"/>
    <mergeCell ref="A7:K7"/>
    <mergeCell ref="I23:J23"/>
    <mergeCell ref="I24:J24"/>
    <mergeCell ref="D24:F24"/>
    <mergeCell ref="G24:H24"/>
    <mergeCell ref="I25:J25"/>
    <mergeCell ref="R13:S13"/>
    <mergeCell ref="A15:K15"/>
    <mergeCell ref="I26:J26"/>
    <mergeCell ref="A16:K16"/>
    <mergeCell ref="R24:S24"/>
    <mergeCell ref="O24:P24"/>
    <mergeCell ref="A32:C32"/>
    <mergeCell ref="A33:C33"/>
    <mergeCell ref="A25:C25"/>
    <mergeCell ref="G36:H36"/>
    <mergeCell ref="G38:H38"/>
    <mergeCell ref="A27:C27"/>
    <mergeCell ref="A28:C28"/>
    <mergeCell ref="A29:C29"/>
    <mergeCell ref="A30:C30"/>
    <mergeCell ref="A31:C31"/>
    <mergeCell ref="G40:H40"/>
    <mergeCell ref="A76:K76"/>
    <mergeCell ref="H71:K71"/>
    <mergeCell ref="A59:G59"/>
    <mergeCell ref="A61:G61"/>
    <mergeCell ref="H57:K57"/>
    <mergeCell ref="H59:K59"/>
    <mergeCell ref="A75:K75"/>
    <mergeCell ref="H64:N64"/>
    <mergeCell ref="H58:K58"/>
    <mergeCell ref="H60:K60"/>
    <mergeCell ref="H61:K61"/>
  </mergeCells>
  <conditionalFormatting sqref="A59">
    <cfRule type="cellIs" priority="2" stopIfTrue="1" operator="between">
      <formula>5</formula>
      <formula>10</formula>
    </cfRule>
  </conditionalFormatting>
  <conditionalFormatting sqref="A61">
    <cfRule type="cellIs" priority="1" stopIfTrue="1" operator="between">
      <formula>5</formula>
      <formula>10</formula>
    </cfRule>
  </conditionalFormatting>
  <dataValidations disablePrompts="1" count="1">
    <dataValidation type="list" allowBlank="1" showInputMessage="1" showErrorMessage="1" sqref="Q24 T24" xr:uid="{00000000-0002-0000-0000-000000000000}">
      <formula1>$U$20:$U$21</formula1>
    </dataValidation>
  </dataValidations>
  <printOptions horizontalCentered="1" verticalCentered="1"/>
  <pageMargins left="0" right="0" top="0.39370078740157483" bottom="0" header="0.11811023622047245" footer="0"/>
  <pageSetup paperSize="274" scale="91" orientation="portrait" r:id="rId1"/>
  <headerFooter scaleWithDoc="0">
    <oddHeader>&amp;C&amp;G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649-EBE8-494E-A00F-3A517BAED2E7}">
  <dimension ref="A1:T58"/>
  <sheetViews>
    <sheetView workbookViewId="0">
      <selection activeCell="N9" sqref="N9"/>
    </sheetView>
  </sheetViews>
  <sheetFormatPr baseColWidth="10" defaultColWidth="10.33203125" defaultRowHeight="13.8" x14ac:dyDescent="0.25"/>
  <cols>
    <col min="1" max="2" width="5.33203125" style="669" customWidth="1"/>
    <col min="3" max="3" width="9.5546875" style="669" customWidth="1"/>
    <col min="4" max="4" width="10.6640625" style="669" customWidth="1"/>
    <col min="5" max="5" width="12.109375" style="669" customWidth="1"/>
    <col min="6" max="6" width="4.44140625" style="669" customWidth="1"/>
    <col min="7" max="7" width="5.6640625" style="669" customWidth="1"/>
    <col min="8" max="8" width="5" style="669" customWidth="1"/>
    <col min="9" max="12" width="11.44140625" style="669" customWidth="1"/>
    <col min="13" max="13" width="6.6640625" style="669" customWidth="1"/>
    <col min="14" max="14" width="6.44140625" style="669" customWidth="1"/>
    <col min="15" max="15" width="10.33203125" style="669" customWidth="1"/>
    <col min="16" max="16" width="10.6640625" style="669" customWidth="1"/>
    <col min="17" max="17" width="15.5546875" style="669" customWidth="1"/>
    <col min="18" max="16384" width="10.33203125" style="669"/>
  </cols>
  <sheetData>
    <row r="1" spans="1:17" ht="12" customHeight="1" thickTop="1" x14ac:dyDescent="0.25">
      <c r="A1" s="664"/>
      <c r="B1" s="665"/>
      <c r="C1" s="665"/>
      <c r="D1" s="665"/>
      <c r="E1" s="665"/>
      <c r="F1" s="666"/>
      <c r="G1" s="666"/>
      <c r="H1" s="666"/>
      <c r="I1" s="666"/>
      <c r="J1" s="666"/>
      <c r="K1" s="666"/>
      <c r="L1" s="667"/>
      <c r="M1" s="668"/>
    </row>
    <row r="2" spans="1:17" ht="12" customHeight="1" x14ac:dyDescent="0.25">
      <c r="A2" s="670"/>
      <c r="B2" s="671"/>
      <c r="C2" s="671"/>
      <c r="D2" s="671"/>
      <c r="E2" s="671"/>
      <c r="F2" s="672"/>
      <c r="G2" s="672"/>
      <c r="H2" s="672"/>
      <c r="I2" s="672"/>
      <c r="J2" s="672"/>
      <c r="K2" s="672"/>
      <c r="M2" s="673"/>
      <c r="P2" s="682" t="s">
        <v>57</v>
      </c>
      <c r="Q2" s="767"/>
    </row>
    <row r="3" spans="1:17" ht="12" customHeight="1" x14ac:dyDescent="0.25">
      <c r="A3" s="670"/>
      <c r="B3" s="671"/>
      <c r="C3" s="671"/>
      <c r="D3" s="671"/>
      <c r="E3" s="671"/>
      <c r="F3" s="672"/>
      <c r="G3" s="672"/>
      <c r="H3" s="672"/>
      <c r="I3" s="672"/>
      <c r="J3" s="672"/>
      <c r="K3" s="672"/>
      <c r="M3" s="673"/>
      <c r="P3" s="682" t="s">
        <v>108</v>
      </c>
      <c r="Q3" s="768"/>
    </row>
    <row r="4" spans="1:17" ht="12" customHeight="1" x14ac:dyDescent="0.25">
      <c r="A4" s="670"/>
      <c r="B4" s="671"/>
      <c r="C4" s="671"/>
      <c r="D4" s="671"/>
      <c r="E4" s="671"/>
      <c r="F4" s="672"/>
      <c r="G4" s="672"/>
      <c r="H4" s="672"/>
      <c r="I4" s="672"/>
      <c r="J4" s="672"/>
      <c r="K4" s="672"/>
      <c r="M4" s="673"/>
      <c r="P4" s="682" t="s">
        <v>66</v>
      </c>
      <c r="Q4" s="768"/>
    </row>
    <row r="5" spans="1:17" ht="12" customHeight="1" thickBot="1" x14ac:dyDescent="0.3">
      <c r="A5" s="674"/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6"/>
      <c r="P5" s="682" t="s">
        <v>67</v>
      </c>
      <c r="Q5" s="768"/>
    </row>
    <row r="6" spans="1:17" ht="6" customHeight="1" thickTop="1" x14ac:dyDescent="0.25">
      <c r="A6" s="677"/>
      <c r="B6" s="677"/>
      <c r="C6" s="677"/>
      <c r="D6" s="677"/>
      <c r="E6" s="677"/>
      <c r="F6" s="677"/>
      <c r="G6" s="677"/>
      <c r="H6" s="677"/>
      <c r="I6" s="677"/>
      <c r="J6" s="677"/>
      <c r="K6" s="677"/>
      <c r="L6" s="677"/>
      <c r="M6" s="677"/>
      <c r="O6" s="123"/>
      <c r="P6" s="769"/>
      <c r="Q6" s="770"/>
    </row>
    <row r="7" spans="1:17" ht="15.9" customHeight="1" x14ac:dyDescent="0.25">
      <c r="A7" s="881" t="s">
        <v>18</v>
      </c>
      <c r="B7" s="881"/>
      <c r="C7" s="881"/>
      <c r="D7" s="881"/>
      <c r="E7" s="881"/>
      <c r="F7" s="881"/>
      <c r="G7" s="881"/>
      <c r="H7" s="881"/>
      <c r="I7" s="881"/>
      <c r="J7" s="881"/>
      <c r="K7" s="881"/>
      <c r="L7" s="881"/>
      <c r="M7" s="881"/>
      <c r="P7" s="682" t="s">
        <v>270</v>
      </c>
      <c r="Q7" s="770"/>
    </row>
    <row r="8" spans="1:17" ht="15.9" customHeight="1" x14ac:dyDescent="0.25">
      <c r="A8" s="882" t="s">
        <v>273</v>
      </c>
      <c r="B8" s="882"/>
      <c r="C8" s="882"/>
      <c r="D8" s="882"/>
      <c r="E8" s="882"/>
      <c r="F8" s="882"/>
      <c r="G8" s="882"/>
      <c r="H8" s="882"/>
      <c r="I8" s="882"/>
      <c r="J8" s="882"/>
      <c r="K8" s="882"/>
      <c r="L8" s="882"/>
      <c r="M8" s="882"/>
      <c r="P8" s="682" t="s">
        <v>320</v>
      </c>
      <c r="Q8" s="771"/>
    </row>
    <row r="9" spans="1:17" ht="9.6" customHeight="1" x14ac:dyDescent="0.25">
      <c r="A9" s="678"/>
      <c r="B9" s="678"/>
      <c r="C9" s="678"/>
      <c r="D9" s="678"/>
      <c r="E9" s="678"/>
      <c r="F9" s="678"/>
      <c r="G9" s="678"/>
      <c r="H9" s="678"/>
      <c r="I9" s="678"/>
      <c r="J9" s="678"/>
      <c r="K9" s="678"/>
      <c r="L9" s="678"/>
      <c r="M9" s="678"/>
      <c r="P9" s="682" t="s">
        <v>321</v>
      </c>
      <c r="Q9" s="770"/>
    </row>
    <row r="10" spans="1:17" ht="15.9" customHeight="1" x14ac:dyDescent="0.25">
      <c r="B10" s="679"/>
      <c r="C10" s="883" t="s">
        <v>274</v>
      </c>
      <c r="D10" s="883"/>
      <c r="E10" s="883" t="s">
        <v>275</v>
      </c>
      <c r="F10" s="883"/>
      <c r="G10" s="883"/>
      <c r="H10" s="883" t="s">
        <v>276</v>
      </c>
      <c r="I10" s="883"/>
      <c r="J10" s="883" t="s">
        <v>277</v>
      </c>
      <c r="K10" s="883"/>
      <c r="L10" s="679"/>
      <c r="M10" s="679"/>
      <c r="N10" s="121"/>
      <c r="O10" s="121"/>
      <c r="P10" s="769"/>
      <c r="Q10" s="770"/>
    </row>
    <row r="11" spans="1:17" ht="15.9" customHeight="1" x14ac:dyDescent="0.25">
      <c r="A11" s="679"/>
      <c r="B11" s="679"/>
      <c r="C11" s="884"/>
      <c r="D11" s="884"/>
      <c r="E11" s="884"/>
      <c r="F11" s="884"/>
      <c r="G11" s="884"/>
      <c r="H11" s="885"/>
      <c r="I11" s="884"/>
      <c r="J11" s="884"/>
      <c r="K11" s="884"/>
      <c r="L11" s="679"/>
      <c r="M11" s="679"/>
      <c r="N11" s="121"/>
      <c r="O11" s="121"/>
      <c r="P11" s="682" t="s">
        <v>322</v>
      </c>
      <c r="Q11" s="770"/>
    </row>
    <row r="12" spans="1:17" ht="8.4" customHeight="1" x14ac:dyDescent="0.25">
      <c r="A12" s="679"/>
      <c r="B12" s="680"/>
      <c r="C12" s="681"/>
      <c r="D12" s="681"/>
      <c r="E12" s="681"/>
      <c r="F12" s="681"/>
      <c r="G12" s="681"/>
      <c r="H12" s="681"/>
      <c r="I12" s="681"/>
      <c r="J12" s="681"/>
      <c r="K12" s="681"/>
      <c r="L12" s="682"/>
      <c r="M12" s="680"/>
      <c r="N12" s="121"/>
      <c r="O12" s="121"/>
      <c r="P12" s="682" t="s">
        <v>61</v>
      </c>
      <c r="Q12" s="771"/>
    </row>
    <row r="13" spans="1:17" ht="13.5" customHeight="1" x14ac:dyDescent="0.25">
      <c r="A13" s="886" t="s">
        <v>278</v>
      </c>
      <c r="B13" s="887"/>
      <c r="C13" s="887"/>
      <c r="D13" s="887"/>
      <c r="E13" s="887"/>
      <c r="F13" s="887"/>
      <c r="G13" s="887"/>
      <c r="H13" s="887"/>
      <c r="I13" s="887"/>
      <c r="J13" s="887"/>
      <c r="K13" s="887"/>
      <c r="L13" s="887"/>
      <c r="M13" s="888"/>
      <c r="N13" s="121"/>
      <c r="O13" s="121"/>
      <c r="P13" s="682" t="s">
        <v>62</v>
      </c>
      <c r="Q13" s="771"/>
    </row>
    <row r="14" spans="1:17" ht="15" customHeight="1" x14ac:dyDescent="0.25">
      <c r="A14" s="878" t="s">
        <v>237</v>
      </c>
      <c r="B14" s="879"/>
      <c r="C14" s="879"/>
      <c r="D14" s="879"/>
      <c r="E14" s="879"/>
      <c r="F14" s="879"/>
      <c r="G14" s="879"/>
      <c r="H14" s="879"/>
      <c r="I14" s="879"/>
      <c r="J14" s="879"/>
      <c r="K14" s="879"/>
      <c r="L14" s="879"/>
      <c r="M14" s="880"/>
      <c r="N14" s="121"/>
      <c r="O14" s="121"/>
      <c r="P14" s="769"/>
      <c r="Q14" s="770"/>
    </row>
    <row r="15" spans="1:17" ht="13.95" customHeight="1" x14ac:dyDescent="0.25">
      <c r="A15" s="683"/>
      <c r="B15" s="684"/>
      <c r="C15" s="685"/>
      <c r="D15" s="685"/>
      <c r="E15" s="685"/>
      <c r="F15" s="685"/>
      <c r="G15" s="685"/>
      <c r="H15" s="685"/>
      <c r="I15" s="685"/>
      <c r="J15" s="685"/>
      <c r="K15" s="685"/>
      <c r="L15" s="686"/>
      <c r="M15" s="684"/>
      <c r="N15" s="121"/>
      <c r="O15" s="121"/>
      <c r="P15" s="682" t="s">
        <v>106</v>
      </c>
      <c r="Q15" s="772"/>
    </row>
    <row r="16" spans="1:17" ht="15.9" customHeight="1" x14ac:dyDescent="0.25">
      <c r="B16" s="860" t="s">
        <v>219</v>
      </c>
      <c r="C16" s="861"/>
      <c r="D16" s="861"/>
      <c r="E16" s="861"/>
      <c r="F16" s="861"/>
      <c r="G16" s="861"/>
      <c r="H16" s="861"/>
      <c r="I16" s="861"/>
      <c r="J16" s="861"/>
      <c r="K16" s="861"/>
      <c r="L16" s="862"/>
      <c r="M16" s="687"/>
      <c r="O16" s="121"/>
      <c r="P16" s="682" t="s">
        <v>95</v>
      </c>
      <c r="Q16" s="772"/>
    </row>
    <row r="17" spans="1:20" ht="19.5" customHeight="1" x14ac:dyDescent="0.25">
      <c r="B17" s="688" t="s">
        <v>279</v>
      </c>
      <c r="C17" s="689"/>
      <c r="D17" s="689"/>
      <c r="E17" s="689"/>
      <c r="F17" s="689"/>
      <c r="G17" s="689"/>
      <c r="H17" s="689"/>
      <c r="I17" s="690"/>
      <c r="J17" s="863"/>
      <c r="K17" s="863"/>
      <c r="L17" s="863"/>
      <c r="M17" s="691"/>
      <c r="N17" s="692"/>
      <c r="O17" s="121"/>
      <c r="P17" s="682" t="s">
        <v>96</v>
      </c>
      <c r="Q17" s="773"/>
      <c r="R17" s="317"/>
      <c r="S17" s="317"/>
      <c r="T17" s="317"/>
    </row>
    <row r="18" spans="1:20" ht="19.5" customHeight="1" x14ac:dyDescent="0.25">
      <c r="B18" s="693" t="s">
        <v>280</v>
      </c>
      <c r="C18" s="694"/>
      <c r="D18" s="694"/>
      <c r="E18" s="694"/>
      <c r="F18" s="694"/>
      <c r="G18" s="694"/>
      <c r="H18" s="694"/>
      <c r="I18" s="695"/>
      <c r="J18" s="863"/>
      <c r="K18" s="863"/>
      <c r="L18" s="863"/>
      <c r="M18" s="691"/>
      <c r="N18" s="692"/>
      <c r="O18" s="121"/>
      <c r="P18" s="318"/>
      <c r="R18" s="317"/>
      <c r="S18" s="317"/>
      <c r="T18" s="317"/>
    </row>
    <row r="19" spans="1:20" ht="19.5" customHeight="1" x14ac:dyDescent="0.25">
      <c r="B19" s="688" t="s">
        <v>281</v>
      </c>
      <c r="C19" s="689"/>
      <c r="D19" s="689"/>
      <c r="E19" s="689"/>
      <c r="F19" s="689"/>
      <c r="G19" s="689"/>
      <c r="H19" s="689"/>
      <c r="I19" s="690"/>
      <c r="J19" s="863"/>
      <c r="K19" s="863"/>
      <c r="L19" s="863"/>
      <c r="M19" s="691"/>
      <c r="N19" s="692"/>
      <c r="O19" s="121"/>
      <c r="P19" s="318"/>
      <c r="R19" s="317"/>
      <c r="S19" s="317"/>
      <c r="T19" s="317"/>
    </row>
    <row r="20" spans="1:20" ht="19.5" customHeight="1" x14ac:dyDescent="0.25">
      <c r="B20" s="696" t="s">
        <v>282</v>
      </c>
      <c r="C20" s="697"/>
      <c r="D20" s="697"/>
      <c r="E20" s="697"/>
      <c r="F20" s="697"/>
      <c r="G20" s="697"/>
      <c r="H20" s="697"/>
      <c r="I20" s="698"/>
      <c r="J20" s="863"/>
      <c r="K20" s="863"/>
      <c r="L20" s="863"/>
      <c r="M20" s="691"/>
      <c r="N20" s="692"/>
      <c r="O20" s="121"/>
      <c r="P20" s="318"/>
      <c r="R20" s="317"/>
      <c r="S20" s="317"/>
      <c r="T20" s="317"/>
    </row>
    <row r="21" spans="1:20" ht="19.5" customHeight="1" x14ac:dyDescent="0.25">
      <c r="B21" s="688" t="s">
        <v>283</v>
      </c>
      <c r="C21" s="689"/>
      <c r="D21" s="689"/>
      <c r="E21" s="689"/>
      <c r="F21" s="689"/>
      <c r="G21" s="689"/>
      <c r="H21" s="689"/>
      <c r="I21" s="690"/>
      <c r="J21" s="864"/>
      <c r="K21" s="865"/>
      <c r="L21" s="866"/>
      <c r="M21" s="691"/>
      <c r="O21" s="121"/>
      <c r="P21" s="318"/>
      <c r="Q21" s="317"/>
      <c r="R21" s="692"/>
      <c r="S21" s="317"/>
      <c r="T21" s="317"/>
    </row>
    <row r="22" spans="1:20" ht="19.5" customHeight="1" x14ac:dyDescent="0.25">
      <c r="B22" s="696" t="s">
        <v>284</v>
      </c>
      <c r="C22" s="697"/>
      <c r="D22" s="697"/>
      <c r="E22" s="697"/>
      <c r="F22" s="697"/>
      <c r="G22" s="697"/>
      <c r="H22" s="697"/>
      <c r="I22" s="698"/>
      <c r="J22" s="867"/>
      <c r="K22" s="868"/>
      <c r="L22" s="869"/>
      <c r="M22" s="691"/>
      <c r="O22" s="121"/>
      <c r="P22" s="318"/>
      <c r="Q22" s="317"/>
      <c r="R22" s="692"/>
      <c r="S22" s="317"/>
      <c r="T22" s="317"/>
    </row>
    <row r="23" spans="1:20" ht="19.5" customHeight="1" x14ac:dyDescent="0.25">
      <c r="B23" s="688" t="s">
        <v>285</v>
      </c>
      <c r="C23" s="689"/>
      <c r="D23" s="689"/>
      <c r="E23" s="689"/>
      <c r="F23" s="689"/>
      <c r="G23" s="689"/>
      <c r="H23" s="689"/>
      <c r="I23" s="690"/>
      <c r="J23" s="870"/>
      <c r="K23" s="871"/>
      <c r="L23" s="872"/>
      <c r="M23" s="691"/>
      <c r="N23" s="692"/>
      <c r="O23" s="121"/>
      <c r="P23" s="318"/>
      <c r="Q23" s="317"/>
      <c r="R23" s="317"/>
      <c r="S23" s="317"/>
      <c r="T23" s="317"/>
    </row>
    <row r="24" spans="1:20" ht="19.5" customHeight="1" x14ac:dyDescent="0.25">
      <c r="B24" s="873" t="s">
        <v>286</v>
      </c>
      <c r="C24" s="874"/>
      <c r="D24" s="874"/>
      <c r="E24" s="874"/>
      <c r="F24" s="874"/>
      <c r="G24" s="874"/>
      <c r="H24" s="874"/>
      <c r="I24" s="874"/>
      <c r="J24" s="874"/>
      <c r="K24" s="874"/>
      <c r="L24" s="875"/>
      <c r="M24" s="699"/>
      <c r="N24" s="692"/>
      <c r="O24" s="121"/>
      <c r="P24" s="318"/>
      <c r="Q24" s="317"/>
      <c r="R24" s="317"/>
      <c r="S24" s="317"/>
      <c r="T24" s="317"/>
    </row>
    <row r="25" spans="1:20" ht="23.25" customHeight="1" x14ac:dyDescent="0.25">
      <c r="B25" s="700" t="s">
        <v>287</v>
      </c>
      <c r="C25" s="701" t="s">
        <v>288</v>
      </c>
      <c r="D25" s="701"/>
      <c r="E25" s="701"/>
      <c r="F25" s="701"/>
      <c r="G25" s="701"/>
      <c r="H25" s="702"/>
      <c r="I25" s="701" t="s">
        <v>289</v>
      </c>
      <c r="J25" s="703"/>
      <c r="K25" s="703"/>
      <c r="L25" s="704"/>
      <c r="M25" s="699"/>
      <c r="N25" s="692"/>
      <c r="O25" s="121"/>
      <c r="P25" s="318"/>
      <c r="Q25" s="317"/>
      <c r="R25" s="317"/>
      <c r="S25" s="317"/>
      <c r="T25" s="317"/>
    </row>
    <row r="26" spans="1:20" ht="23.25" customHeight="1" x14ac:dyDescent="0.25">
      <c r="B26" s="700"/>
      <c r="C26" s="705" t="s">
        <v>290</v>
      </c>
      <c r="D26" s="705"/>
      <c r="E26" s="705"/>
      <c r="F26" s="705"/>
      <c r="G26" s="705"/>
      <c r="H26" s="702"/>
      <c r="I26" s="876" t="s">
        <v>291</v>
      </c>
      <c r="J26" s="876"/>
      <c r="K26" s="876"/>
      <c r="L26" s="877"/>
      <c r="M26" s="699"/>
      <c r="N26" s="692"/>
      <c r="O26" s="121"/>
      <c r="P26" s="318"/>
      <c r="Q26" s="317"/>
      <c r="R26" s="317"/>
      <c r="S26" s="317"/>
      <c r="T26" s="317"/>
    </row>
    <row r="27" spans="1:20" ht="6" customHeight="1" x14ac:dyDescent="0.25">
      <c r="A27" s="706"/>
      <c r="B27" s="706"/>
      <c r="C27" s="706"/>
      <c r="D27" s="706"/>
      <c r="E27" s="706"/>
      <c r="F27" s="706"/>
      <c r="G27" s="706"/>
      <c r="H27" s="706"/>
      <c r="I27" s="706"/>
      <c r="J27" s="706"/>
      <c r="K27" s="707"/>
      <c r="L27" s="707"/>
      <c r="M27" s="708"/>
      <c r="N27" s="692"/>
      <c r="O27" s="121"/>
      <c r="P27" s="318"/>
      <c r="Q27" s="317"/>
      <c r="R27" s="317"/>
      <c r="S27" s="317"/>
      <c r="T27" s="317"/>
    </row>
    <row r="28" spans="1:20" ht="19.5" customHeight="1" x14ac:dyDescent="0.25">
      <c r="B28" s="860" t="s">
        <v>292</v>
      </c>
      <c r="C28" s="861"/>
      <c r="D28" s="861"/>
      <c r="E28" s="861"/>
      <c r="F28" s="861"/>
      <c r="G28" s="861"/>
      <c r="H28" s="861"/>
      <c r="I28" s="861"/>
      <c r="J28" s="861"/>
      <c r="K28" s="861"/>
      <c r="L28" s="862"/>
      <c r="M28" s="709"/>
      <c r="N28" s="692"/>
      <c r="O28" s="832" t="s">
        <v>35</v>
      </c>
      <c r="P28" s="832"/>
      <c r="Q28" s="832"/>
      <c r="R28" s="317"/>
      <c r="S28" s="317"/>
      <c r="T28" s="317"/>
    </row>
    <row r="29" spans="1:20" ht="19.5" customHeight="1" x14ac:dyDescent="0.25">
      <c r="B29" s="710" t="s">
        <v>293</v>
      </c>
      <c r="C29" s="711"/>
      <c r="D29" s="712"/>
      <c r="E29" s="712"/>
      <c r="F29" s="713"/>
      <c r="G29" s="713"/>
      <c r="H29" s="713"/>
      <c r="I29" s="714"/>
      <c r="J29" s="830"/>
      <c r="K29" s="854"/>
      <c r="L29" s="831"/>
      <c r="M29" s="709"/>
      <c r="N29" s="692"/>
      <c r="O29" s="716" t="s">
        <v>259</v>
      </c>
      <c r="P29" s="443" t="s">
        <v>155</v>
      </c>
      <c r="Q29" s="443" t="s">
        <v>54</v>
      </c>
      <c r="R29" s="317"/>
      <c r="S29" s="317"/>
      <c r="T29" s="317"/>
    </row>
    <row r="30" spans="1:20" ht="19.5" customHeight="1" x14ac:dyDescent="0.25">
      <c r="B30" s="717" t="s">
        <v>294</v>
      </c>
      <c r="D30" s="718"/>
      <c r="E30" s="718"/>
      <c r="F30" s="719"/>
      <c r="G30" s="719"/>
      <c r="H30" s="719"/>
      <c r="I30" s="720"/>
      <c r="J30" s="855"/>
      <c r="K30" s="856"/>
      <c r="L30" s="857"/>
      <c r="M30" s="709"/>
      <c r="N30" s="692"/>
      <c r="O30" s="721" t="e">
        <f>+LN(P30)</f>
        <v>#NUM!</v>
      </c>
      <c r="P30" s="448">
        <f>+G38</f>
        <v>0</v>
      </c>
      <c r="Q30" s="445" t="e">
        <f>+G45</f>
        <v>#DIV/0!</v>
      </c>
      <c r="R30" s="317"/>
      <c r="S30" s="317"/>
      <c r="T30" s="317"/>
    </row>
    <row r="31" spans="1:20" ht="19.5" customHeight="1" x14ac:dyDescent="0.25">
      <c r="B31" s="710" t="s">
        <v>295</v>
      </c>
      <c r="C31" s="711"/>
      <c r="D31" s="712"/>
      <c r="E31" s="712"/>
      <c r="F31" s="713"/>
      <c r="G31" s="713"/>
      <c r="H31" s="713"/>
      <c r="I31" s="714"/>
      <c r="J31" s="858"/>
      <c r="K31" s="854"/>
      <c r="L31" s="831"/>
      <c r="M31" s="722"/>
      <c r="N31" s="692"/>
      <c r="O31" s="721" t="e">
        <f>+LN(P31)</f>
        <v>#NUM!</v>
      </c>
      <c r="P31" s="449">
        <f>+I38</f>
        <v>0</v>
      </c>
      <c r="Q31" s="445" t="e">
        <f>+I45</f>
        <v>#DIV/0!</v>
      </c>
      <c r="R31" s="317"/>
      <c r="S31" s="317"/>
      <c r="T31" s="317"/>
    </row>
    <row r="32" spans="1:20" ht="19.5" customHeight="1" x14ac:dyDescent="0.25">
      <c r="B32" s="710" t="s">
        <v>296</v>
      </c>
      <c r="C32" s="711"/>
      <c r="D32" s="723"/>
      <c r="E32" s="723"/>
      <c r="F32" s="713"/>
      <c r="G32" s="713"/>
      <c r="H32" s="713"/>
      <c r="I32" s="714"/>
      <c r="J32" s="830"/>
      <c r="K32" s="854"/>
      <c r="L32" s="831"/>
      <c r="N32" s="692"/>
      <c r="O32" s="721" t="e">
        <f>+LN(P32)</f>
        <v>#NUM!</v>
      </c>
      <c r="P32" s="450">
        <f>+J38</f>
        <v>0</v>
      </c>
      <c r="Q32" s="446" t="e">
        <f>+J45</f>
        <v>#DIV/0!</v>
      </c>
    </row>
    <row r="33" spans="1:19" ht="19.5" customHeight="1" x14ac:dyDescent="0.25">
      <c r="B33" s="724" t="s">
        <v>297</v>
      </c>
      <c r="C33" s="725"/>
      <c r="D33" s="726"/>
      <c r="E33" s="726"/>
      <c r="F33" s="727"/>
      <c r="G33" s="727"/>
      <c r="H33" s="727"/>
      <c r="I33" s="728"/>
      <c r="J33" s="830"/>
      <c r="K33" s="854"/>
      <c r="L33" s="831"/>
      <c r="N33" s="692"/>
      <c r="O33" s="729"/>
      <c r="P33" s="444" t="s">
        <v>154</v>
      </c>
      <c r="Q33" s="447" t="e">
        <f>AVERAGE(Q30:Q32)</f>
        <v>#DIV/0!</v>
      </c>
    </row>
    <row r="34" spans="1:19" ht="6" customHeight="1" x14ac:dyDescent="0.25">
      <c r="A34" s="730"/>
      <c r="L34" s="859"/>
      <c r="M34" s="859"/>
      <c r="N34" s="692"/>
      <c r="O34" s="731"/>
    </row>
    <row r="35" spans="1:19" ht="15" customHeight="1" x14ac:dyDescent="0.25">
      <c r="B35" s="840" t="s">
        <v>298</v>
      </c>
      <c r="C35" s="841"/>
      <c r="D35" s="841"/>
      <c r="E35" s="841"/>
      <c r="F35" s="842"/>
      <c r="G35" s="846" t="s">
        <v>35</v>
      </c>
      <c r="H35" s="846"/>
      <c r="I35" s="846"/>
      <c r="J35" s="847"/>
      <c r="K35" s="848" t="s">
        <v>34</v>
      </c>
      <c r="L35" s="846"/>
      <c r="M35" s="732"/>
      <c r="N35" s="692"/>
    </row>
    <row r="36" spans="1:19" ht="15" customHeight="1" x14ac:dyDescent="0.25">
      <c r="B36" s="843"/>
      <c r="C36" s="844"/>
      <c r="D36" s="844"/>
      <c r="E36" s="844"/>
      <c r="F36" s="845"/>
      <c r="G36" s="849">
        <v>1</v>
      </c>
      <c r="H36" s="850"/>
      <c r="I36" s="734">
        <v>2</v>
      </c>
      <c r="J36" s="733">
        <v>3</v>
      </c>
      <c r="K36" s="735">
        <v>1</v>
      </c>
      <c r="L36" s="734">
        <v>2</v>
      </c>
      <c r="M36" s="732"/>
      <c r="N36" s="692"/>
      <c r="O36" s="851" t="s">
        <v>245</v>
      </c>
      <c r="P36" s="852"/>
      <c r="Q36" s="853"/>
      <c r="R36" s="729"/>
      <c r="S36" s="729"/>
    </row>
    <row r="37" spans="1:19" ht="24" customHeight="1" x14ac:dyDescent="0.25">
      <c r="B37" s="737" t="s">
        <v>299</v>
      </c>
      <c r="C37" s="738" t="s">
        <v>27</v>
      </c>
      <c r="D37" s="739"/>
      <c r="E37" s="739"/>
      <c r="F37" s="740"/>
      <c r="G37" s="830"/>
      <c r="H37" s="831"/>
      <c r="I37" s="737"/>
      <c r="J37" s="715"/>
      <c r="K37" s="741"/>
      <c r="L37" s="737"/>
      <c r="M37" s="742"/>
      <c r="N37" s="121"/>
      <c r="O37" s="743" t="e">
        <f>RSQ(Q30:Q32,O30:O32)</f>
        <v>#DIV/0!</v>
      </c>
      <c r="P37" s="828" t="e">
        <f>IF(O37&lt;=0.95,"NO CONFORME","CONFORME")</f>
        <v>#DIV/0!</v>
      </c>
      <c r="Q37" s="829"/>
      <c r="R37" s="729"/>
      <c r="S37" s="729"/>
    </row>
    <row r="38" spans="1:19" ht="24" customHeight="1" x14ac:dyDescent="0.25">
      <c r="B38" s="737" t="s">
        <v>300</v>
      </c>
      <c r="C38" s="738" t="s">
        <v>26</v>
      </c>
      <c r="D38" s="739"/>
      <c r="E38" s="739"/>
      <c r="F38" s="740"/>
      <c r="G38" s="830"/>
      <c r="H38" s="831"/>
      <c r="I38" s="737"/>
      <c r="J38" s="715"/>
      <c r="K38" s="745"/>
      <c r="L38" s="746"/>
      <c r="M38" s="747"/>
      <c r="N38" s="121"/>
      <c r="R38" s="729"/>
      <c r="S38" s="729"/>
    </row>
    <row r="39" spans="1:19" ht="24" customHeight="1" x14ac:dyDescent="0.25">
      <c r="B39" s="737" t="s">
        <v>301</v>
      </c>
      <c r="C39" s="738" t="s">
        <v>209</v>
      </c>
      <c r="D39" s="739"/>
      <c r="E39" s="739"/>
      <c r="F39" s="736" t="s">
        <v>109</v>
      </c>
      <c r="G39" s="830"/>
      <c r="H39" s="831"/>
      <c r="I39" s="737"/>
      <c r="J39" s="715"/>
      <c r="K39" s="741"/>
      <c r="L39" s="737"/>
      <c r="M39" s="747"/>
      <c r="N39" s="121"/>
      <c r="O39" s="832" t="s">
        <v>34</v>
      </c>
      <c r="P39" s="832"/>
      <c r="Q39" s="832"/>
      <c r="R39" s="729"/>
      <c r="S39" s="729"/>
    </row>
    <row r="40" spans="1:19" ht="24" customHeight="1" x14ac:dyDescent="0.25">
      <c r="B40" s="737" t="s">
        <v>302</v>
      </c>
      <c r="C40" s="738" t="s">
        <v>210</v>
      </c>
      <c r="D40" s="739"/>
      <c r="E40" s="739"/>
      <c r="F40" s="736" t="s">
        <v>109</v>
      </c>
      <c r="G40" s="830"/>
      <c r="H40" s="831"/>
      <c r="I40" s="737"/>
      <c r="J40" s="715"/>
      <c r="K40" s="741"/>
      <c r="L40" s="737"/>
      <c r="M40" s="747"/>
      <c r="N40" s="121"/>
      <c r="O40" s="737" t="str">
        <f>+IF(P40&gt;=6,"Cumple","No cumple")</f>
        <v>No cumple</v>
      </c>
      <c r="P40" s="743">
        <f>+K39-K42</f>
        <v>0</v>
      </c>
      <c r="Q40" s="737" t="str">
        <f>+IF(R40&gt;=6,"Cumple","No cumple")</f>
        <v>No cumple</v>
      </c>
      <c r="R40" s="743">
        <f>+L39-L42</f>
        <v>0</v>
      </c>
      <c r="S40" s="729"/>
    </row>
    <row r="41" spans="1:19" ht="24" customHeight="1" x14ac:dyDescent="0.25">
      <c r="B41" s="737" t="s">
        <v>13</v>
      </c>
      <c r="C41" s="738" t="s">
        <v>220</v>
      </c>
      <c r="D41" s="739"/>
      <c r="E41" s="739"/>
      <c r="F41" s="736" t="s">
        <v>109</v>
      </c>
      <c r="G41" s="830"/>
      <c r="H41" s="831"/>
      <c r="I41" s="737"/>
      <c r="J41" s="715"/>
      <c r="K41" s="741"/>
      <c r="L41" s="737"/>
      <c r="M41" s="747"/>
      <c r="N41" s="121"/>
      <c r="O41" s="453"/>
      <c r="P41" s="453"/>
      <c r="Q41" s="284"/>
      <c r="R41" s="729"/>
      <c r="S41" s="729"/>
    </row>
    <row r="42" spans="1:19" ht="24" customHeight="1" x14ac:dyDescent="0.25">
      <c r="B42" s="737" t="s">
        <v>14</v>
      </c>
      <c r="C42" s="738" t="s">
        <v>72</v>
      </c>
      <c r="D42" s="739"/>
      <c r="E42" s="739"/>
      <c r="F42" s="736" t="s">
        <v>109</v>
      </c>
      <c r="G42" s="830"/>
      <c r="H42" s="831"/>
      <c r="I42" s="737"/>
      <c r="J42" s="715"/>
      <c r="K42" s="741"/>
      <c r="L42" s="737"/>
      <c r="M42" s="747"/>
      <c r="N42" s="121"/>
      <c r="O42" s="833" t="s">
        <v>218</v>
      </c>
      <c r="P42" s="834"/>
      <c r="Q42" s="834"/>
      <c r="R42" s="834"/>
      <c r="S42" s="835"/>
    </row>
    <row r="43" spans="1:19" ht="24" customHeight="1" x14ac:dyDescent="0.25">
      <c r="B43" s="737" t="s">
        <v>303</v>
      </c>
      <c r="C43" s="738" t="s">
        <v>304</v>
      </c>
      <c r="D43" s="739"/>
      <c r="E43" s="739"/>
      <c r="F43" s="736" t="s">
        <v>109</v>
      </c>
      <c r="G43" s="828">
        <f>+G39-G41</f>
        <v>0</v>
      </c>
      <c r="H43" s="829"/>
      <c r="I43" s="743">
        <f>+I39-I41</f>
        <v>0</v>
      </c>
      <c r="J43" s="744">
        <f>+J39-J41</f>
        <v>0</v>
      </c>
      <c r="K43" s="748">
        <f>+K39-K41</f>
        <v>0</v>
      </c>
      <c r="L43" s="743">
        <f>+L39-L41</f>
        <v>0</v>
      </c>
      <c r="M43" s="747"/>
      <c r="N43" s="121"/>
      <c r="O43" s="836" t="s">
        <v>213</v>
      </c>
      <c r="P43" s="837"/>
      <c r="Q43" s="836" t="s">
        <v>214</v>
      </c>
      <c r="R43" s="837"/>
      <c r="S43" s="838" t="s">
        <v>215</v>
      </c>
    </row>
    <row r="44" spans="1:19" ht="24" customHeight="1" x14ac:dyDescent="0.25">
      <c r="B44" s="737" t="s">
        <v>305</v>
      </c>
      <c r="C44" s="738" t="s">
        <v>306</v>
      </c>
      <c r="D44" s="739"/>
      <c r="E44" s="739"/>
      <c r="F44" s="736" t="s">
        <v>109</v>
      </c>
      <c r="G44" s="830">
        <f>+G41-G42</f>
        <v>0</v>
      </c>
      <c r="H44" s="831"/>
      <c r="I44" s="737">
        <f>+I41-I42</f>
        <v>0</v>
      </c>
      <c r="J44" s="715">
        <f>+J41-J42</f>
        <v>0</v>
      </c>
      <c r="K44" s="741">
        <f>+K41-K42</f>
        <v>0</v>
      </c>
      <c r="L44" s="737">
        <f>+L41-L42</f>
        <v>0</v>
      </c>
      <c r="M44" s="747"/>
      <c r="N44" s="121"/>
      <c r="O44" s="750" t="s">
        <v>216</v>
      </c>
      <c r="P44" s="750" t="s">
        <v>217</v>
      </c>
      <c r="Q44" s="750" t="s">
        <v>216</v>
      </c>
      <c r="R44" s="750" t="s">
        <v>217</v>
      </c>
      <c r="S44" s="839"/>
    </row>
    <row r="45" spans="1:19" ht="24" customHeight="1" x14ac:dyDescent="0.25">
      <c r="B45" s="737" t="s">
        <v>307</v>
      </c>
      <c r="C45" s="738" t="s">
        <v>308</v>
      </c>
      <c r="D45" s="739"/>
      <c r="E45" s="739"/>
      <c r="F45" s="736" t="s">
        <v>110</v>
      </c>
      <c r="G45" s="828" t="e">
        <f>+G43/G44*100</f>
        <v>#DIV/0!</v>
      </c>
      <c r="H45" s="829"/>
      <c r="I45" s="743" t="e">
        <f>+I43/I44*100</f>
        <v>#DIV/0!</v>
      </c>
      <c r="J45" s="744" t="e">
        <f>+J43/J44*100</f>
        <v>#DIV/0!</v>
      </c>
      <c r="K45" s="748" t="e">
        <f>+K43/K44*100</f>
        <v>#DIV/0!</v>
      </c>
      <c r="L45" s="743" t="e">
        <f>+L43/L44*100</f>
        <v>#DIV/0!</v>
      </c>
      <c r="M45" s="747"/>
      <c r="N45" s="121"/>
      <c r="O45" s="751" t="e">
        <f>+STDEV(K45,L45)</f>
        <v>#DIV/0!</v>
      </c>
      <c r="P45" s="752" t="e">
        <f>ROUNDDOWN(O45*2.8,0)</f>
        <v>#DIV/0!</v>
      </c>
      <c r="Q45" s="751">
        <v>0.5</v>
      </c>
      <c r="R45" s="752">
        <v>1</v>
      </c>
      <c r="S45" s="749" t="e">
        <f>IF(P45&lt;R45, "cumple", "no cumple")</f>
        <v>#DIV/0!</v>
      </c>
    </row>
    <row r="46" spans="1:19" ht="6" customHeight="1" x14ac:dyDescent="0.25">
      <c r="A46" s="747"/>
      <c r="J46" s="747"/>
      <c r="K46" s="747"/>
      <c r="L46" s="747"/>
      <c r="M46" s="747"/>
      <c r="N46" s="121"/>
      <c r="O46" s="729"/>
      <c r="P46" s="729"/>
      <c r="Q46" s="729"/>
      <c r="R46" s="729"/>
      <c r="S46" s="729"/>
    </row>
    <row r="47" spans="1:19" ht="15" customHeight="1" x14ac:dyDescent="0.25">
      <c r="A47" s="753"/>
      <c r="B47" s="822" t="s">
        <v>309</v>
      </c>
      <c r="C47" s="823"/>
      <c r="D47" s="822" t="s">
        <v>310</v>
      </c>
      <c r="E47" s="824"/>
      <c r="F47" s="823"/>
      <c r="G47" s="754" t="s">
        <v>311</v>
      </c>
      <c r="H47" s="755"/>
      <c r="I47" s="756"/>
      <c r="J47" s="756"/>
      <c r="K47" s="756"/>
      <c r="L47" s="757"/>
      <c r="N47" s="121"/>
    </row>
    <row r="48" spans="1:19" ht="21" customHeight="1" x14ac:dyDescent="0.25">
      <c r="B48" s="758" t="s">
        <v>312</v>
      </c>
      <c r="C48" s="759"/>
      <c r="D48" s="825"/>
      <c r="E48" s="826"/>
      <c r="F48" s="827"/>
      <c r="G48" s="760"/>
      <c r="H48" s="725"/>
      <c r="I48" s="725"/>
      <c r="J48" s="725"/>
      <c r="K48" s="725"/>
      <c r="L48" s="761"/>
      <c r="N48" s="121"/>
    </row>
    <row r="49" spans="1:15" ht="21" customHeight="1" x14ac:dyDescent="0.25">
      <c r="B49" s="758" t="s">
        <v>313</v>
      </c>
      <c r="C49" s="759"/>
      <c r="D49" s="825"/>
      <c r="E49" s="826"/>
      <c r="F49" s="827"/>
      <c r="G49" s="762"/>
      <c r="N49" s="121"/>
    </row>
    <row r="50" spans="1:15" ht="21" customHeight="1" x14ac:dyDescent="0.25">
      <c r="B50" s="758" t="s">
        <v>314</v>
      </c>
      <c r="C50" s="759"/>
      <c r="D50" s="825"/>
      <c r="E50" s="826"/>
      <c r="F50" s="827"/>
      <c r="N50" s="121"/>
    </row>
    <row r="51" spans="1:15" ht="21" customHeight="1" x14ac:dyDescent="0.25">
      <c r="B51" s="758" t="s">
        <v>315</v>
      </c>
      <c r="C51" s="759"/>
      <c r="D51" s="825"/>
      <c r="E51" s="826"/>
      <c r="F51" s="827"/>
      <c r="N51" s="121"/>
    </row>
    <row r="52" spans="1:15" ht="8.25" customHeight="1" x14ac:dyDescent="0.25">
      <c r="B52" s="763"/>
      <c r="C52" s="764"/>
      <c r="D52" s="820"/>
      <c r="E52" s="820"/>
      <c r="F52" s="820"/>
      <c r="N52" s="121"/>
      <c r="O52" s="121"/>
    </row>
    <row r="53" spans="1:15" x14ac:dyDescent="0.25">
      <c r="A53" s="765" t="s">
        <v>316</v>
      </c>
      <c r="B53" s="747"/>
      <c r="C53" s="747"/>
      <c r="D53" s="747"/>
      <c r="E53" s="747"/>
      <c r="F53" s="747"/>
      <c r="G53" s="747"/>
      <c r="H53" s="747"/>
      <c r="I53" s="747"/>
      <c r="J53" s="747"/>
      <c r="K53" s="747"/>
      <c r="L53" s="747"/>
      <c r="M53" s="747"/>
      <c r="N53" s="121"/>
      <c r="O53" s="121"/>
    </row>
    <row r="54" spans="1:15" x14ac:dyDescent="0.25">
      <c r="A54" s="765" t="s">
        <v>317</v>
      </c>
      <c r="B54" s="747"/>
      <c r="C54" s="747"/>
      <c r="D54" s="747"/>
      <c r="E54" s="747"/>
      <c r="F54" s="747"/>
      <c r="G54" s="441" t="s">
        <v>318</v>
      </c>
      <c r="H54" s="441"/>
      <c r="I54" s="747"/>
      <c r="J54" s="747"/>
      <c r="K54" s="747"/>
      <c r="L54" s="747"/>
      <c r="M54" s="747"/>
      <c r="N54" s="121"/>
      <c r="O54" s="121"/>
    </row>
    <row r="55" spans="1:15" ht="5.25" customHeight="1" x14ac:dyDescent="0.25"/>
    <row r="56" spans="1:15" ht="27" customHeight="1" x14ac:dyDescent="0.25">
      <c r="A56" s="821" t="s">
        <v>319</v>
      </c>
      <c r="B56" s="821"/>
      <c r="C56" s="821"/>
      <c r="D56" s="821"/>
      <c r="E56" s="821"/>
      <c r="F56" s="821"/>
      <c r="G56" s="821"/>
      <c r="H56" s="821"/>
      <c r="I56" s="821"/>
      <c r="J56" s="821"/>
      <c r="K56" s="821"/>
      <c r="L56" s="821"/>
      <c r="M56" s="821"/>
    </row>
    <row r="57" spans="1:15" ht="15.9" customHeight="1" x14ac:dyDescent="0.25"/>
    <row r="58" spans="1:15" ht="15.9" customHeight="1" x14ac:dyDescent="0.25"/>
  </sheetData>
  <protectedRanges>
    <protectedRange sqref="C12:E12 C15:E15" name="Rango3_3_1_1_1_1_1_1_1_1"/>
    <protectedRange sqref="C10:E11" name="Rango3_3_1_1_1_1_1_2_1"/>
  </protectedRanges>
  <mergeCells count="58">
    <mergeCell ref="A14:M14"/>
    <mergeCell ref="A7:M7"/>
    <mergeCell ref="A8:M8"/>
    <mergeCell ref="C10:D10"/>
    <mergeCell ref="E10:G10"/>
    <mergeCell ref="H10:I10"/>
    <mergeCell ref="J10:K10"/>
    <mergeCell ref="C11:D11"/>
    <mergeCell ref="E11:G11"/>
    <mergeCell ref="H11:I11"/>
    <mergeCell ref="J11:K11"/>
    <mergeCell ref="A13:M13"/>
    <mergeCell ref="O28:Q28"/>
    <mergeCell ref="B16:L16"/>
    <mergeCell ref="J17:L17"/>
    <mergeCell ref="J18:L18"/>
    <mergeCell ref="J19:L19"/>
    <mergeCell ref="J20:L20"/>
    <mergeCell ref="J21:L21"/>
    <mergeCell ref="J22:L22"/>
    <mergeCell ref="J23:L23"/>
    <mergeCell ref="B24:L24"/>
    <mergeCell ref="I26:L26"/>
    <mergeCell ref="B28:L28"/>
    <mergeCell ref="G37:H37"/>
    <mergeCell ref="P37:Q37"/>
    <mergeCell ref="J29:L29"/>
    <mergeCell ref="J30:L30"/>
    <mergeCell ref="J31:L31"/>
    <mergeCell ref="J32:L32"/>
    <mergeCell ref="J33:L33"/>
    <mergeCell ref="L34:M34"/>
    <mergeCell ref="B35:F36"/>
    <mergeCell ref="G35:J35"/>
    <mergeCell ref="K35:L35"/>
    <mergeCell ref="G36:H36"/>
    <mergeCell ref="O36:Q36"/>
    <mergeCell ref="G45:H45"/>
    <mergeCell ref="G38:H38"/>
    <mergeCell ref="G39:H39"/>
    <mergeCell ref="O39:Q39"/>
    <mergeCell ref="G40:H40"/>
    <mergeCell ref="G41:H41"/>
    <mergeCell ref="G42:H42"/>
    <mergeCell ref="O42:S42"/>
    <mergeCell ref="G43:H43"/>
    <mergeCell ref="O43:P43"/>
    <mergeCell ref="Q43:R43"/>
    <mergeCell ref="S43:S44"/>
    <mergeCell ref="G44:H44"/>
    <mergeCell ref="D52:F52"/>
    <mergeCell ref="A56:M56"/>
    <mergeCell ref="B47:C47"/>
    <mergeCell ref="D47:F47"/>
    <mergeCell ref="D48:F48"/>
    <mergeCell ref="D49:F49"/>
    <mergeCell ref="D50:F50"/>
    <mergeCell ref="D51:F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1"/>
  <sheetViews>
    <sheetView showGridLines="0" tabSelected="1" view="pageBreakPreview" topLeftCell="A16" zoomScale="120" zoomScaleNormal="100" zoomScaleSheetLayoutView="120" workbookViewId="0">
      <selection activeCell="P42" sqref="P42"/>
    </sheetView>
  </sheetViews>
  <sheetFormatPr baseColWidth="10" defaultColWidth="10.33203125" defaultRowHeight="13.8" x14ac:dyDescent="0.25"/>
  <cols>
    <col min="1" max="1" width="10.44140625" style="179" customWidth="1"/>
    <col min="2" max="2" width="1.6640625" style="179" customWidth="1"/>
    <col min="3" max="3" width="3.44140625" style="179" customWidth="1"/>
    <col min="4" max="4" width="2" style="179" customWidth="1"/>
    <col min="5" max="5" width="13.5546875" style="179" customWidth="1"/>
    <col min="6" max="6" width="4.109375" style="179" customWidth="1"/>
    <col min="7" max="10" width="9" style="179" customWidth="1"/>
    <col min="11" max="11" width="8.88671875" style="179" customWidth="1"/>
    <col min="12" max="12" width="8" style="179" customWidth="1"/>
    <col min="13" max="13" width="1.5546875" style="179" customWidth="1"/>
    <col min="14" max="14" width="13.44140625" style="179" customWidth="1"/>
    <col min="15" max="15" width="6.44140625" style="179" customWidth="1"/>
    <col min="16" max="20" width="8" style="179" customWidth="1"/>
    <col min="21" max="21" width="15.5546875" style="179" customWidth="1"/>
    <col min="22" max="23" width="10.88671875" style="179" customWidth="1"/>
    <col min="24" max="33" width="10.6640625" style="179" customWidth="1"/>
    <col min="34" max="35" width="10.33203125" style="179"/>
    <col min="36" max="36" width="16" style="179" customWidth="1"/>
    <col min="37" max="37" width="12.33203125" style="179" customWidth="1"/>
    <col min="38" max="38" width="12.109375" style="179" customWidth="1"/>
    <col min="39" max="16384" width="10.33203125" style="179"/>
  </cols>
  <sheetData>
    <row r="1" spans="1:36" ht="51" customHeight="1" x14ac:dyDescent="0.25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</row>
    <row r="2" spans="1:36" ht="21.75" customHeight="1" x14ac:dyDescent="0.25">
      <c r="A2" s="802" t="s">
        <v>18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AJ2" s="180" t="s">
        <v>39</v>
      </c>
    </row>
    <row r="3" spans="1:36" ht="15.9" customHeight="1" x14ac:dyDescent="0.25">
      <c r="A3" s="902">
        <v>0</v>
      </c>
      <c r="B3" s="902"/>
      <c r="C3" s="902"/>
      <c r="D3" s="902"/>
      <c r="E3" s="902"/>
      <c r="F3" s="902"/>
      <c r="G3" s="902"/>
      <c r="H3" s="902"/>
      <c r="I3" s="902"/>
      <c r="J3" s="902"/>
      <c r="K3" s="902"/>
      <c r="L3" s="902"/>
      <c r="M3" s="902"/>
      <c r="N3" s="902"/>
      <c r="AJ3" s="180" t="s">
        <v>146</v>
      </c>
    </row>
    <row r="4" spans="1:36" ht="15.9" customHeight="1" x14ac:dyDescent="0.25">
      <c r="K4" s="205"/>
      <c r="L4" s="205"/>
      <c r="M4" s="205"/>
      <c r="V4" s="181"/>
      <c r="W4" s="181"/>
    </row>
    <row r="5" spans="1:36" ht="15.75" customHeight="1" x14ac:dyDescent="0.25">
      <c r="A5" s="144" t="s">
        <v>57</v>
      </c>
      <c r="B5" s="47" t="s">
        <v>0</v>
      </c>
      <c r="C5" s="906">
        <f>+FORMATO!Q2</f>
        <v>0</v>
      </c>
      <c r="D5" s="906"/>
      <c r="E5" s="906"/>
      <c r="F5" s="906"/>
      <c r="G5" s="906"/>
      <c r="H5" s="906"/>
      <c r="I5" s="906"/>
      <c r="J5" s="906"/>
      <c r="K5" s="906"/>
      <c r="L5" s="30" t="s">
        <v>21</v>
      </c>
      <c r="M5" s="206" t="s">
        <v>0</v>
      </c>
      <c r="N5" s="161" t="s">
        <v>105</v>
      </c>
    </row>
    <row r="6" spans="1:36" ht="15.75" customHeight="1" x14ac:dyDescent="0.25">
      <c r="A6" s="144" t="s">
        <v>108</v>
      </c>
      <c r="B6" s="47" t="s">
        <v>0</v>
      </c>
      <c r="C6" s="905">
        <f>+FORMATO!Q3</f>
        <v>0</v>
      </c>
      <c r="D6" s="905"/>
      <c r="E6" s="905"/>
      <c r="F6" s="905"/>
      <c r="G6" s="905"/>
      <c r="H6" s="905"/>
      <c r="I6" s="905"/>
      <c r="J6" s="905"/>
      <c r="K6" s="40"/>
      <c r="L6" s="34" t="s">
        <v>270</v>
      </c>
      <c r="M6" s="47" t="s">
        <v>0</v>
      </c>
      <c r="N6" s="660">
        <f>+FORMATO!Q7</f>
        <v>0</v>
      </c>
      <c r="O6" s="183"/>
      <c r="P6" s="183"/>
      <c r="Q6" s="183"/>
      <c r="R6" s="183"/>
      <c r="S6" s="183"/>
      <c r="T6" s="183"/>
      <c r="V6" s="184"/>
      <c r="W6" s="184"/>
    </row>
    <row r="7" spans="1:36" ht="15.75" customHeight="1" x14ac:dyDescent="0.25">
      <c r="A7" s="144" t="s">
        <v>66</v>
      </c>
      <c r="B7" s="47" t="s">
        <v>0</v>
      </c>
      <c r="C7" s="906">
        <f>+FORMATO!Q4</f>
        <v>0</v>
      </c>
      <c r="D7" s="906"/>
      <c r="E7" s="906"/>
      <c r="F7" s="906"/>
      <c r="G7" s="906"/>
      <c r="H7" s="906"/>
      <c r="I7" s="906"/>
      <c r="J7" s="906"/>
      <c r="K7" s="906"/>
      <c r="L7" s="34" t="s">
        <v>321</v>
      </c>
      <c r="M7" s="47" t="s">
        <v>0</v>
      </c>
      <c r="N7" s="660">
        <f>+FORMATO!Q9</f>
        <v>0</v>
      </c>
      <c r="O7" s="183"/>
      <c r="P7" s="183"/>
      <c r="Q7" s="183"/>
      <c r="R7" s="183"/>
      <c r="S7" s="183"/>
      <c r="T7" s="183"/>
      <c r="X7" s="185"/>
      <c r="Y7" s="185"/>
      <c r="Z7" s="185"/>
      <c r="AA7" s="185"/>
      <c r="AB7" s="186"/>
      <c r="AC7" s="186"/>
      <c r="AD7" s="187"/>
    </row>
    <row r="8" spans="1:36" ht="15.75" customHeight="1" x14ac:dyDescent="0.25">
      <c r="A8" s="144" t="s">
        <v>67</v>
      </c>
      <c r="B8" s="47" t="s">
        <v>0</v>
      </c>
      <c r="C8" s="905">
        <f>+FORMATO!Q5</f>
        <v>0</v>
      </c>
      <c r="D8" s="905"/>
      <c r="E8" s="905"/>
      <c r="F8" s="905"/>
      <c r="G8" s="905"/>
      <c r="H8" s="905"/>
      <c r="I8" s="905"/>
      <c r="J8" s="905"/>
      <c r="K8" s="780"/>
      <c r="L8" s="34" t="s">
        <v>115</v>
      </c>
      <c r="M8" s="47" t="s">
        <v>0</v>
      </c>
      <c r="N8" s="641">
        <f>+FORMATO!Q8</f>
        <v>0</v>
      </c>
      <c r="O8" s="183"/>
      <c r="P8" s="183"/>
      <c r="Q8" s="183"/>
      <c r="R8" s="183"/>
      <c r="S8" s="183"/>
      <c r="T8" s="183"/>
      <c r="X8" s="185"/>
      <c r="Y8" s="185"/>
      <c r="Z8" s="185"/>
      <c r="AA8" s="185"/>
      <c r="AB8" s="907"/>
      <c r="AC8" s="907"/>
      <c r="AD8" s="907"/>
    </row>
    <row r="9" spans="1:36" ht="15.9" customHeight="1" x14ac:dyDescent="0.25">
      <c r="A9" s="629" t="s">
        <v>65</v>
      </c>
      <c r="B9" s="286"/>
      <c r="C9" s="286"/>
      <c r="D9" s="28"/>
      <c r="E9" s="188"/>
      <c r="F9" s="188"/>
      <c r="G9" s="188"/>
      <c r="H9" s="188"/>
      <c r="I9" s="188"/>
      <c r="J9" s="188"/>
      <c r="K9" s="40"/>
      <c r="L9" s="34"/>
      <c r="M9" s="28"/>
      <c r="N9" s="189"/>
      <c r="O9" s="183"/>
      <c r="P9" s="183"/>
      <c r="Q9" s="183"/>
      <c r="R9" s="183"/>
      <c r="S9" s="183"/>
      <c r="T9" s="183"/>
      <c r="X9" s="185"/>
      <c r="Y9" s="185"/>
      <c r="Z9" s="185"/>
      <c r="AA9" s="185"/>
      <c r="AB9" s="244"/>
      <c r="AC9" s="244"/>
      <c r="AD9" s="244"/>
    </row>
    <row r="10" spans="1:36" x14ac:dyDescent="0.25">
      <c r="A10" s="908" t="s">
        <v>107</v>
      </c>
      <c r="B10" s="909"/>
      <c r="C10" s="909"/>
      <c r="D10" s="909"/>
      <c r="E10" s="909"/>
      <c r="F10" s="909"/>
      <c r="G10" s="909"/>
      <c r="H10" s="909"/>
      <c r="I10" s="909"/>
      <c r="J10" s="909"/>
      <c r="K10" s="909"/>
      <c r="L10" s="909"/>
      <c r="M10" s="909"/>
      <c r="N10" s="910"/>
      <c r="O10" s="183"/>
      <c r="P10" s="183"/>
      <c r="Q10" s="183"/>
      <c r="R10" s="183"/>
      <c r="S10" s="183"/>
      <c r="T10" s="183"/>
      <c r="X10" s="185"/>
      <c r="Y10" s="185"/>
      <c r="Z10" s="185"/>
      <c r="AA10" s="185"/>
      <c r="AB10" s="244"/>
      <c r="AC10" s="244"/>
      <c r="AD10" s="244"/>
    </row>
    <row r="11" spans="1:36" x14ac:dyDescent="0.25">
      <c r="A11" s="911" t="s">
        <v>237</v>
      </c>
      <c r="B11" s="912"/>
      <c r="C11" s="912"/>
      <c r="D11" s="912"/>
      <c r="E11" s="912"/>
      <c r="F11" s="912"/>
      <c r="G11" s="912"/>
      <c r="H11" s="912"/>
      <c r="I11" s="912"/>
      <c r="J11" s="912"/>
      <c r="K11" s="912"/>
      <c r="L11" s="912"/>
      <c r="M11" s="912"/>
      <c r="N11" s="913"/>
      <c r="O11" s="183"/>
      <c r="P11" s="183"/>
      <c r="Q11" s="183"/>
      <c r="R11" s="183"/>
      <c r="S11" s="183"/>
      <c r="T11" s="183"/>
      <c r="X11" s="185"/>
      <c r="Y11" s="185"/>
      <c r="Z11" s="185"/>
      <c r="AA11" s="185"/>
      <c r="AB11" s="244"/>
      <c r="AC11" s="244"/>
      <c r="AD11" s="244"/>
    </row>
    <row r="12" spans="1:36" x14ac:dyDescent="0.25">
      <c r="A12" s="644"/>
      <c r="B12" s="645"/>
      <c r="C12" s="645"/>
      <c r="D12" s="645"/>
      <c r="E12" s="44"/>
      <c r="F12" s="44"/>
      <c r="G12" s="44"/>
      <c r="H12" s="44"/>
      <c r="I12" s="44"/>
      <c r="J12" s="44"/>
      <c r="K12" s="44"/>
      <c r="L12" s="45"/>
      <c r="M12" s="43"/>
      <c r="N12" s="46"/>
      <c r="O12" s="183"/>
      <c r="P12" s="183"/>
      <c r="Q12" s="183"/>
      <c r="R12" s="183"/>
      <c r="S12" s="183"/>
      <c r="T12" s="183"/>
      <c r="X12" s="185"/>
      <c r="Y12" s="185"/>
      <c r="Z12" s="185"/>
      <c r="AA12" s="185"/>
      <c r="AB12" s="244"/>
      <c r="AC12" s="244"/>
      <c r="AD12" s="244"/>
    </row>
    <row r="13" spans="1:36" ht="15.9" customHeight="1" x14ac:dyDescent="0.25">
      <c r="A13" s="207" t="s">
        <v>19</v>
      </c>
      <c r="B13" s="646"/>
      <c r="C13" s="646"/>
      <c r="D13" s="646"/>
      <c r="E13" s="145"/>
      <c r="F13" s="145"/>
      <c r="G13" s="145"/>
      <c r="H13" s="145"/>
      <c r="I13" s="145"/>
      <c r="J13" s="145"/>
      <c r="K13" s="145"/>
      <c r="L13" s="146"/>
      <c r="M13" s="647"/>
      <c r="N13" s="208"/>
      <c r="P13" s="183"/>
      <c r="Q13" s="183"/>
      <c r="R13" s="183"/>
      <c r="S13" s="183"/>
      <c r="T13" s="183"/>
      <c r="X13" s="185"/>
      <c r="Y13" s="185"/>
      <c r="Z13" s="185"/>
      <c r="AA13" s="185"/>
      <c r="AB13" s="244"/>
      <c r="AC13" s="244"/>
      <c r="AD13" s="244"/>
    </row>
    <row r="14" spans="1:36" ht="15.9" customHeight="1" x14ac:dyDescent="0.25">
      <c r="A14" s="164" t="s">
        <v>106</v>
      </c>
      <c r="B14" s="648"/>
      <c r="C14" s="648"/>
      <c r="D14" s="47" t="s">
        <v>0</v>
      </c>
      <c r="E14" s="182">
        <f>+FORMATO!Q15</f>
        <v>0</v>
      </c>
      <c r="F14" s="182"/>
      <c r="G14" s="649"/>
      <c r="H14" s="190"/>
      <c r="I14" s="182"/>
      <c r="J14" s="182"/>
      <c r="K14" s="209"/>
      <c r="L14" s="146" t="s">
        <v>64</v>
      </c>
      <c r="M14" s="647" t="s">
        <v>0</v>
      </c>
      <c r="N14" s="659">
        <f>+FORMATO!C11</f>
        <v>0</v>
      </c>
      <c r="P14" s="183"/>
      <c r="Q14" s="183"/>
      <c r="R14" s="183"/>
      <c r="S14" s="183"/>
      <c r="T14" s="183"/>
      <c r="X14" s="185"/>
      <c r="Y14" s="185"/>
      <c r="Z14" s="185"/>
      <c r="AA14" s="185"/>
      <c r="AB14" s="244"/>
      <c r="AC14" s="244"/>
      <c r="AD14" s="244"/>
    </row>
    <row r="15" spans="1:36" ht="15.9" customHeight="1" x14ac:dyDescent="0.25">
      <c r="A15" s="164" t="s">
        <v>95</v>
      </c>
      <c r="B15" s="648"/>
      <c r="C15" s="648"/>
      <c r="D15" s="47" t="s">
        <v>0</v>
      </c>
      <c r="E15" s="182">
        <f>+FORMATO!Q16</f>
        <v>0</v>
      </c>
      <c r="F15" s="182"/>
      <c r="G15" s="649"/>
      <c r="H15" s="190"/>
      <c r="I15" s="182"/>
      <c r="J15" s="182"/>
      <c r="K15" s="209"/>
      <c r="L15" s="146" t="s">
        <v>61</v>
      </c>
      <c r="M15" s="647" t="s">
        <v>0</v>
      </c>
      <c r="N15" s="650">
        <f>+FORMATO!Q12</f>
        <v>0</v>
      </c>
      <c r="P15" s="183"/>
      <c r="Q15" s="183"/>
      <c r="R15" s="183"/>
      <c r="S15" s="183"/>
      <c r="T15" s="183"/>
      <c r="X15" s="185"/>
      <c r="Y15" s="185"/>
      <c r="Z15" s="185"/>
      <c r="AA15" s="185"/>
      <c r="AB15" s="244"/>
      <c r="AC15" s="244"/>
      <c r="AD15" s="244"/>
    </row>
    <row r="16" spans="1:36" ht="15.9" customHeight="1" x14ac:dyDescent="0.25">
      <c r="A16" s="164" t="s">
        <v>269</v>
      </c>
      <c r="B16" s="648"/>
      <c r="C16" s="648"/>
      <c r="D16" s="47" t="s">
        <v>0</v>
      </c>
      <c r="E16" s="182">
        <f>+FORMATO!Q17</f>
        <v>0</v>
      </c>
      <c r="F16" s="182"/>
      <c r="G16" s="649"/>
      <c r="H16" s="190"/>
      <c r="I16" s="182"/>
      <c r="J16" s="182"/>
      <c r="K16" s="209"/>
      <c r="L16" s="146" t="s">
        <v>62</v>
      </c>
      <c r="M16" s="647" t="s">
        <v>0</v>
      </c>
      <c r="N16" s="650">
        <f>+FORMATO!Q13</f>
        <v>0</v>
      </c>
      <c r="O16" s="766">
        <f>+FORMATO!H11</f>
        <v>0</v>
      </c>
      <c r="P16" s="183"/>
      <c r="Q16" s="183"/>
      <c r="R16" s="183"/>
      <c r="S16" s="183"/>
      <c r="T16" s="183"/>
      <c r="X16" s="185"/>
      <c r="Y16" s="185"/>
      <c r="Z16" s="185"/>
      <c r="AA16" s="185"/>
      <c r="AB16" s="244"/>
      <c r="AC16" s="244"/>
      <c r="AD16" s="244"/>
    </row>
    <row r="17" spans="1:32" ht="12" customHeight="1" x14ac:dyDescent="0.25">
      <c r="A17" s="164" t="s">
        <v>68</v>
      </c>
      <c r="B17" s="648"/>
      <c r="C17" s="648"/>
      <c r="D17" s="47" t="s">
        <v>0</v>
      </c>
      <c r="E17" s="15" t="s">
        <v>238</v>
      </c>
      <c r="F17" s="182"/>
      <c r="K17" s="205"/>
      <c r="L17" s="205"/>
      <c r="M17" s="205"/>
      <c r="N17" s="191"/>
      <c r="P17" s="183"/>
      <c r="Q17" s="183"/>
      <c r="R17" s="183"/>
      <c r="S17" s="183"/>
      <c r="T17" s="183"/>
      <c r="X17" s="185"/>
      <c r="Y17" s="185"/>
      <c r="Z17" s="185"/>
      <c r="AA17" s="185"/>
      <c r="AB17" s="244"/>
      <c r="AC17" s="244"/>
      <c r="AD17" s="244"/>
    </row>
    <row r="18" spans="1:32" ht="4.2" customHeight="1" x14ac:dyDescent="0.25">
      <c r="A18" s="149"/>
      <c r="B18" s="287"/>
      <c r="C18" s="287"/>
      <c r="D18" s="150"/>
      <c r="E18" s="192"/>
      <c r="F18" s="192"/>
      <c r="G18" s="193"/>
      <c r="H18" s="193"/>
      <c r="I18" s="193"/>
      <c r="J18" s="193"/>
      <c r="K18" s="210"/>
      <c r="L18" s="210"/>
      <c r="M18" s="210"/>
      <c r="N18" s="194"/>
      <c r="P18" s="183"/>
      <c r="Q18" s="183"/>
      <c r="R18" s="183"/>
      <c r="S18" s="183"/>
      <c r="T18" s="183"/>
      <c r="U18" s="195"/>
      <c r="V18" s="196"/>
      <c r="W18" s="196"/>
      <c r="X18" s="196"/>
      <c r="Y18" s="196"/>
      <c r="Z18" s="196"/>
      <c r="AA18" s="196"/>
      <c r="AB18" s="197"/>
      <c r="AC18" s="197"/>
      <c r="AD18" s="197"/>
    </row>
    <row r="19" spans="1:32" ht="18.75" customHeight="1" x14ac:dyDescent="0.25">
      <c r="A19" s="52"/>
      <c r="B19" s="281"/>
      <c r="C19" s="281"/>
      <c r="D19" s="211"/>
      <c r="E19" s="211"/>
      <c r="F19" s="211"/>
      <c r="G19" s="211"/>
      <c r="H19" s="211"/>
      <c r="I19" s="211"/>
      <c r="J19" s="211"/>
      <c r="K19" s="211"/>
      <c r="L19" s="803"/>
      <c r="M19" s="803"/>
      <c r="N19" s="53"/>
      <c r="O19" s="183"/>
      <c r="P19" s="198"/>
      <c r="Q19" s="198"/>
      <c r="R19" s="198"/>
      <c r="S19" s="198"/>
      <c r="T19" s="198"/>
      <c r="U19" s="892" t="s">
        <v>198</v>
      </c>
      <c r="V19" s="915" t="s">
        <v>35</v>
      </c>
      <c r="W19" s="915"/>
      <c r="X19" s="915"/>
      <c r="Y19" s="915" t="s">
        <v>34</v>
      </c>
      <c r="Z19" s="915"/>
      <c r="AA19" s="199"/>
      <c r="AB19" s="199"/>
      <c r="AC19" s="199"/>
      <c r="AD19" s="199"/>
      <c r="AE19" s="199"/>
      <c r="AF19" s="199"/>
    </row>
    <row r="20" spans="1:32" ht="18.75" customHeight="1" x14ac:dyDescent="0.25">
      <c r="A20" s="805" t="s">
        <v>147</v>
      </c>
      <c r="B20" s="806"/>
      <c r="C20" s="806"/>
      <c r="D20" s="806"/>
      <c r="E20" s="806"/>
      <c r="F20" s="212" t="s">
        <v>113</v>
      </c>
      <c r="G20" s="805" t="s">
        <v>207</v>
      </c>
      <c r="H20" s="806"/>
      <c r="I20" s="903"/>
      <c r="J20" s="904" t="s">
        <v>206</v>
      </c>
      <c r="K20" s="808"/>
      <c r="L20" s="804"/>
      <c r="M20" s="804"/>
      <c r="N20" s="57"/>
      <c r="O20" s="183"/>
      <c r="P20" s="200"/>
      <c r="Q20" s="200"/>
      <c r="R20" s="200"/>
      <c r="S20" s="200"/>
      <c r="T20" s="200"/>
      <c r="U20" s="892"/>
      <c r="V20" s="914" t="str">
        <f>+DATOS!C12</f>
        <v>-</v>
      </c>
      <c r="W20" s="914"/>
      <c r="X20" s="914"/>
      <c r="Y20" s="914" t="str">
        <f>+DATOS!I12</f>
        <v>-</v>
      </c>
      <c r="Z20" s="914"/>
      <c r="AA20" s="199"/>
      <c r="AB20" s="199"/>
      <c r="AC20" s="199"/>
      <c r="AD20" s="199"/>
      <c r="AE20" s="199"/>
      <c r="AF20" s="199"/>
    </row>
    <row r="21" spans="1:32" ht="18.75" customHeight="1" x14ac:dyDescent="0.25">
      <c r="A21" s="793" t="s">
        <v>148</v>
      </c>
      <c r="B21" s="794"/>
      <c r="C21" s="794"/>
      <c r="D21" s="794"/>
      <c r="E21" s="795"/>
      <c r="F21" s="213" t="s">
        <v>149</v>
      </c>
      <c r="G21" s="60" t="str">
        <f>IF($V$20="NO",V21,IF($V$20="-","",V21))</f>
        <v/>
      </c>
      <c r="H21" s="60" t="str">
        <f t="shared" ref="H21:I21" si="0">IF($V$20="NO",W21,IF($V$20="-","",W21))</f>
        <v/>
      </c>
      <c r="I21" s="637" t="str">
        <f t="shared" si="0"/>
        <v/>
      </c>
      <c r="J21" s="633" t="str">
        <f>IF($Y$20="NO",Y21,IF($Y$20="-","",Y21))</f>
        <v/>
      </c>
      <c r="K21" s="60" t="str">
        <f>IF($Y$20="NO",Z21,IF($Y$20="-","",Z21))</f>
        <v/>
      </c>
      <c r="L21" s="804"/>
      <c r="M21" s="804"/>
      <c r="N21" s="57"/>
      <c r="O21" s="183"/>
      <c r="P21" s="200"/>
      <c r="Q21" s="200"/>
      <c r="R21" s="200"/>
      <c r="S21" s="200"/>
      <c r="T21" s="200"/>
      <c r="U21" s="63" t="s">
        <v>25</v>
      </c>
      <c r="V21" s="60">
        <v>1</v>
      </c>
      <c r="W21" s="60">
        <v>2</v>
      </c>
      <c r="X21" s="61">
        <v>3</v>
      </c>
      <c r="Y21" s="60">
        <v>1</v>
      </c>
      <c r="Z21" s="60">
        <v>2</v>
      </c>
      <c r="AA21" s="199"/>
      <c r="AB21" s="199"/>
      <c r="AC21" s="199"/>
      <c r="AD21" s="199"/>
      <c r="AE21" s="199"/>
      <c r="AF21" s="199"/>
    </row>
    <row r="22" spans="1:32" ht="18.75" customHeight="1" x14ac:dyDescent="0.25">
      <c r="A22" s="790" t="s">
        <v>150</v>
      </c>
      <c r="B22" s="791"/>
      <c r="C22" s="791"/>
      <c r="D22" s="791"/>
      <c r="E22" s="792"/>
      <c r="F22" s="213" t="s">
        <v>149</v>
      </c>
      <c r="G22" s="66" t="str">
        <f>IF($V$20="NO","--",IF($V$20="-","",V22))</f>
        <v/>
      </c>
      <c r="H22" s="66" t="str">
        <f t="shared" ref="H22:I24" si="1">IF($V$20="NO","--",IF($V$20="-","",W22))</f>
        <v/>
      </c>
      <c r="I22" s="638" t="str">
        <f t="shared" si="1"/>
        <v/>
      </c>
      <c r="J22" s="634" t="str">
        <f>IF($Y$20="NO","--",IF($Y$20="-","",Y22))</f>
        <v/>
      </c>
      <c r="K22" s="66" t="str">
        <f>IF($Y$20="NO","--",IF($Y$20="-","",Z22))</f>
        <v/>
      </c>
      <c r="L22" s="813"/>
      <c r="M22" s="813"/>
      <c r="N22" s="69"/>
      <c r="O22" s="201"/>
      <c r="P22" s="200"/>
      <c r="Q22" s="200"/>
      <c r="R22" s="200"/>
      <c r="S22" s="200"/>
      <c r="T22" s="200"/>
      <c r="U22" s="65" t="s">
        <v>27</v>
      </c>
      <c r="V22" s="248">
        <f>+DATOS!D15</f>
        <v>0</v>
      </c>
      <c r="W22" s="233">
        <f>+DATOS!F15</f>
        <v>0</v>
      </c>
      <c r="X22" s="233">
        <f>+DATOS!H15</f>
        <v>0</v>
      </c>
      <c r="Y22" s="233">
        <f>+DATOS!J15</f>
        <v>0</v>
      </c>
      <c r="Z22" s="233">
        <f>+DATOS!L15</f>
        <v>0</v>
      </c>
      <c r="AA22" s="199"/>
      <c r="AB22" s="199"/>
      <c r="AC22" s="199"/>
      <c r="AD22" s="199"/>
      <c r="AE22" s="199"/>
      <c r="AF22" s="199"/>
    </row>
    <row r="23" spans="1:32" ht="18.75" customHeight="1" x14ac:dyDescent="0.25">
      <c r="A23" s="790" t="s">
        <v>26</v>
      </c>
      <c r="B23" s="791"/>
      <c r="C23" s="791"/>
      <c r="D23" s="791"/>
      <c r="E23" s="792"/>
      <c r="F23" s="213" t="s">
        <v>149</v>
      </c>
      <c r="G23" s="66" t="str">
        <f t="shared" ref="G23:G24" si="2">IF($V$20="NO","--",IF($V$20="-","",V23))</f>
        <v/>
      </c>
      <c r="H23" s="66" t="str">
        <f t="shared" si="1"/>
        <v/>
      </c>
      <c r="I23" s="638" t="str">
        <f t="shared" si="1"/>
        <v/>
      </c>
      <c r="J23" s="635"/>
      <c r="K23" s="214"/>
      <c r="L23" s="215"/>
      <c r="M23" s="215"/>
      <c r="N23" s="216"/>
      <c r="O23" s="183"/>
      <c r="P23" s="183"/>
      <c r="Q23" s="183"/>
      <c r="R23" s="183"/>
      <c r="S23" s="183"/>
      <c r="T23" s="183"/>
      <c r="U23" s="65" t="s">
        <v>26</v>
      </c>
      <c r="V23" s="248">
        <f>+DATOS!D16</f>
        <v>0</v>
      </c>
      <c r="W23" s="233">
        <f>+DATOS!F16</f>
        <v>0</v>
      </c>
      <c r="X23" s="233">
        <f>+DATOS!H16</f>
        <v>0</v>
      </c>
      <c r="Y23" s="233" t="s">
        <v>199</v>
      </c>
      <c r="Z23" s="233" t="s">
        <v>199</v>
      </c>
      <c r="AA23" s="199"/>
      <c r="AB23" s="199"/>
      <c r="AC23" s="199"/>
      <c r="AD23" s="199"/>
      <c r="AE23" s="199"/>
      <c r="AF23" s="199"/>
    </row>
    <row r="24" spans="1:32" ht="18.75" customHeight="1" x14ac:dyDescent="0.25">
      <c r="A24" s="790" t="s">
        <v>209</v>
      </c>
      <c r="B24" s="791"/>
      <c r="C24" s="791"/>
      <c r="D24" s="791"/>
      <c r="E24" s="792"/>
      <c r="F24" s="213" t="s">
        <v>109</v>
      </c>
      <c r="G24" s="86" t="str">
        <f t="shared" si="2"/>
        <v/>
      </c>
      <c r="H24" s="86" t="str">
        <f t="shared" si="1"/>
        <v/>
      </c>
      <c r="I24" s="661" t="str">
        <f t="shared" si="1"/>
        <v/>
      </c>
      <c r="J24" s="662" t="str">
        <f>IF($Y$20="NO","--",IF($Y$20="-","",Y24))</f>
        <v/>
      </c>
      <c r="K24" s="86" t="str">
        <f>IF($Y$20="NO","--",IF($Y$20="-","",Z24))</f>
        <v/>
      </c>
      <c r="L24" s="215"/>
      <c r="M24" s="215"/>
      <c r="N24" s="216"/>
      <c r="O24" s="183"/>
      <c r="P24" s="183"/>
      <c r="Q24" s="183"/>
      <c r="R24" s="183"/>
      <c r="S24" s="183"/>
      <c r="T24" s="183"/>
      <c r="U24" s="65" t="s">
        <v>28</v>
      </c>
      <c r="V24" s="83">
        <f>+DATOS!D17</f>
        <v>0</v>
      </c>
      <c r="W24" s="83">
        <f>+DATOS!F17</f>
        <v>0</v>
      </c>
      <c r="X24" s="83">
        <f>+DATOS!H17</f>
        <v>0</v>
      </c>
      <c r="Y24" s="83">
        <f>+DATOS!J17</f>
        <v>0</v>
      </c>
      <c r="Z24" s="83">
        <f>+DATOS!L17</f>
        <v>0</v>
      </c>
      <c r="AA24" s="199"/>
      <c r="AB24" s="199"/>
      <c r="AC24" s="199"/>
      <c r="AD24" s="199"/>
      <c r="AE24" s="199"/>
      <c r="AF24" s="199"/>
    </row>
    <row r="25" spans="1:32" ht="18.75" customHeight="1" x14ac:dyDescent="0.25">
      <c r="A25" s="790" t="s">
        <v>210</v>
      </c>
      <c r="B25" s="791"/>
      <c r="C25" s="791"/>
      <c r="D25" s="791"/>
      <c r="E25" s="792"/>
      <c r="F25" s="213" t="s">
        <v>109</v>
      </c>
      <c r="G25" s="86" t="str">
        <f>IF($V$20="NO","--",IF($V$20="-","",V26))</f>
        <v/>
      </c>
      <c r="H25" s="86" t="str">
        <f t="shared" ref="H25:I29" si="3">IF($V$20="NO","--",IF($V$20="-","",W26))</f>
        <v/>
      </c>
      <c r="I25" s="661" t="str">
        <f t="shared" si="3"/>
        <v/>
      </c>
      <c r="J25" s="662" t="str">
        <f t="shared" ref="J25:K28" si="4">IF($Y$20="NO","--",IF($Y$20="-","",Y26))</f>
        <v/>
      </c>
      <c r="K25" s="86" t="str">
        <f t="shared" si="4"/>
        <v/>
      </c>
      <c r="L25" s="215"/>
      <c r="M25" s="215"/>
      <c r="N25" s="216"/>
      <c r="O25" s="183"/>
      <c r="P25" s="183"/>
      <c r="Q25" s="183"/>
      <c r="R25" s="183"/>
      <c r="S25" s="183"/>
      <c r="T25" s="183"/>
      <c r="U25" s="65" t="s">
        <v>29</v>
      </c>
      <c r="V25" s="83">
        <f>+DATOS!D18</f>
        <v>0</v>
      </c>
      <c r="W25" s="83">
        <f>+DATOS!F18</f>
        <v>0</v>
      </c>
      <c r="X25" s="83">
        <f>+DATOS!H18</f>
        <v>0</v>
      </c>
      <c r="Y25" s="83">
        <f>+DATOS!J18</f>
        <v>0</v>
      </c>
      <c r="Z25" s="83">
        <f>+DATOS!L18</f>
        <v>0</v>
      </c>
      <c r="AA25" s="199"/>
      <c r="AB25" s="199"/>
      <c r="AC25" s="199"/>
      <c r="AD25" s="199"/>
      <c r="AE25" s="199"/>
      <c r="AF25" s="199"/>
    </row>
    <row r="26" spans="1:32" ht="18.75" customHeight="1" x14ac:dyDescent="0.25">
      <c r="A26" s="790" t="s">
        <v>72</v>
      </c>
      <c r="B26" s="791"/>
      <c r="C26" s="791"/>
      <c r="D26" s="791"/>
      <c r="E26" s="792"/>
      <c r="F26" s="213" t="s">
        <v>109</v>
      </c>
      <c r="G26" s="86" t="str">
        <f>IF($V$20="NO","--",IF($V$20="-","",V27))</f>
        <v/>
      </c>
      <c r="H26" s="86" t="str">
        <f t="shared" si="3"/>
        <v/>
      </c>
      <c r="I26" s="661" t="str">
        <f t="shared" si="3"/>
        <v/>
      </c>
      <c r="J26" s="662" t="str">
        <f t="shared" si="4"/>
        <v/>
      </c>
      <c r="K26" s="86" t="str">
        <f t="shared" si="4"/>
        <v/>
      </c>
      <c r="L26" s="215"/>
      <c r="M26" s="215"/>
      <c r="N26" s="216"/>
      <c r="O26" s="183"/>
      <c r="P26" s="183"/>
      <c r="Q26" s="183"/>
      <c r="R26" s="183"/>
      <c r="S26" s="183"/>
      <c r="T26" s="183"/>
      <c r="U26" s="65" t="s">
        <v>51</v>
      </c>
      <c r="V26" s="83">
        <f>+DATOS!D19</f>
        <v>0</v>
      </c>
      <c r="W26" s="83">
        <f>+DATOS!F19</f>
        <v>0</v>
      </c>
      <c r="X26" s="83">
        <f>+DATOS!H19</f>
        <v>0</v>
      </c>
      <c r="Y26" s="83">
        <f>+DATOS!J19</f>
        <v>0</v>
      </c>
      <c r="Z26" s="83">
        <f>+DATOS!L19</f>
        <v>0</v>
      </c>
      <c r="AA26" s="199"/>
      <c r="AB26" s="199"/>
      <c r="AC26" s="199"/>
      <c r="AD26" s="199"/>
      <c r="AE26" s="199"/>
      <c r="AF26" s="199"/>
    </row>
    <row r="27" spans="1:32" ht="18.75" customHeight="1" x14ac:dyDescent="0.25">
      <c r="A27" s="790" t="s">
        <v>73</v>
      </c>
      <c r="B27" s="791"/>
      <c r="C27" s="791"/>
      <c r="D27" s="791"/>
      <c r="E27" s="792"/>
      <c r="F27" s="213" t="s">
        <v>109</v>
      </c>
      <c r="G27" s="86" t="str">
        <f>IF($V$20="NO","--",IF($V$20="-","",V28))</f>
        <v/>
      </c>
      <c r="H27" s="86" t="str">
        <f t="shared" si="3"/>
        <v/>
      </c>
      <c r="I27" s="661" t="str">
        <f t="shared" si="3"/>
        <v/>
      </c>
      <c r="J27" s="662" t="str">
        <f t="shared" si="4"/>
        <v/>
      </c>
      <c r="K27" s="86" t="str">
        <f t="shared" si="4"/>
        <v/>
      </c>
      <c r="L27" s="215"/>
      <c r="M27" s="215"/>
      <c r="N27" s="216"/>
      <c r="O27" s="183"/>
      <c r="P27" s="183"/>
      <c r="Q27" s="183"/>
      <c r="R27" s="183"/>
      <c r="S27" s="183"/>
      <c r="T27" s="183"/>
      <c r="U27" s="65" t="s">
        <v>30</v>
      </c>
      <c r="V27" s="83">
        <f>+DATOS!D20</f>
        <v>0</v>
      </c>
      <c r="W27" s="83">
        <f>+DATOS!F20</f>
        <v>0</v>
      </c>
      <c r="X27" s="83">
        <f>+DATOS!H20</f>
        <v>0</v>
      </c>
      <c r="Y27" s="83">
        <f>+DATOS!J20</f>
        <v>0</v>
      </c>
      <c r="Z27" s="83">
        <f>+DATOS!L20</f>
        <v>0</v>
      </c>
      <c r="AA27" s="199"/>
      <c r="AB27" s="199"/>
      <c r="AC27" s="199"/>
      <c r="AD27" s="199"/>
      <c r="AE27" s="199"/>
      <c r="AF27" s="199"/>
    </row>
    <row r="28" spans="1:32" ht="18.75" customHeight="1" x14ac:dyDescent="0.25">
      <c r="A28" s="790" t="s">
        <v>211</v>
      </c>
      <c r="B28" s="791"/>
      <c r="C28" s="791"/>
      <c r="D28" s="791"/>
      <c r="E28" s="792"/>
      <c r="F28" s="213" t="s">
        <v>109</v>
      </c>
      <c r="G28" s="86" t="str">
        <f>IF($V$20="NO","--",IF($V$20="-","",V29))</f>
        <v/>
      </c>
      <c r="H28" s="86" t="str">
        <f t="shared" si="3"/>
        <v/>
      </c>
      <c r="I28" s="661" t="str">
        <f t="shared" si="3"/>
        <v/>
      </c>
      <c r="J28" s="662" t="str">
        <f t="shared" si="4"/>
        <v/>
      </c>
      <c r="K28" s="86" t="str">
        <f t="shared" si="4"/>
        <v/>
      </c>
      <c r="L28" s="215"/>
      <c r="M28" s="215"/>
      <c r="N28" s="216"/>
      <c r="O28" s="183"/>
      <c r="P28" s="183"/>
      <c r="Q28" s="183"/>
      <c r="R28" s="183"/>
      <c r="S28" s="183"/>
      <c r="T28" s="183"/>
      <c r="U28" s="65" t="s">
        <v>31</v>
      </c>
      <c r="V28" s="83">
        <f>+DATOS!D21</f>
        <v>0</v>
      </c>
      <c r="W28" s="83">
        <f>+DATOS!F21</f>
        <v>0</v>
      </c>
      <c r="X28" s="83">
        <f>+DATOS!H21</f>
        <v>0</v>
      </c>
      <c r="Y28" s="83">
        <f>+DATOS!J21</f>
        <v>0</v>
      </c>
      <c r="Z28" s="83">
        <f>+DATOS!L21</f>
        <v>0</v>
      </c>
      <c r="AA28" s="199"/>
      <c r="AB28" s="199"/>
      <c r="AC28" s="199"/>
      <c r="AD28" s="199"/>
      <c r="AE28" s="199"/>
      <c r="AF28" s="199"/>
    </row>
    <row r="29" spans="1:32" ht="18.75" customHeight="1" x14ac:dyDescent="0.25">
      <c r="A29" s="793" t="s">
        <v>111</v>
      </c>
      <c r="B29" s="794"/>
      <c r="C29" s="794"/>
      <c r="D29" s="794"/>
      <c r="E29" s="795"/>
      <c r="F29" s="217" t="s">
        <v>110</v>
      </c>
      <c r="G29" s="246" t="str">
        <f>IF($V$20="NO","--",IF($V$20="-","",V30))</f>
        <v/>
      </c>
      <c r="H29" s="246" t="str">
        <f t="shared" si="3"/>
        <v/>
      </c>
      <c r="I29" s="639" t="str">
        <f t="shared" si="3"/>
        <v/>
      </c>
      <c r="J29" s="636" t="str">
        <f t="shared" ref="J29:K29" si="5">IF($V$20="NO","--",IF($V$20="-","",Y30))</f>
        <v/>
      </c>
      <c r="K29" s="246" t="str">
        <f t="shared" si="5"/>
        <v/>
      </c>
      <c r="L29" s="215"/>
      <c r="M29" s="215"/>
      <c r="N29" s="216"/>
      <c r="O29" s="183"/>
      <c r="P29" s="183"/>
      <c r="Q29" s="183"/>
      <c r="R29" s="183"/>
      <c r="S29" s="183"/>
      <c r="T29" s="183"/>
      <c r="U29" s="65" t="s">
        <v>32</v>
      </c>
      <c r="V29" s="83">
        <f>+DATOS!D22</f>
        <v>0</v>
      </c>
      <c r="W29" s="83">
        <f>+DATOS!F22</f>
        <v>0</v>
      </c>
      <c r="X29" s="83">
        <f>+DATOS!H22</f>
        <v>0</v>
      </c>
      <c r="Y29" s="83">
        <f>+DATOS!J22</f>
        <v>0</v>
      </c>
      <c r="Z29" s="83">
        <f>+DATOS!L22</f>
        <v>0</v>
      </c>
      <c r="AA29" s="199"/>
      <c r="AB29" s="199"/>
      <c r="AC29" s="199"/>
      <c r="AD29" s="199"/>
      <c r="AE29" s="199"/>
      <c r="AF29" s="199"/>
    </row>
    <row r="30" spans="1:32" ht="18.75" customHeight="1" x14ac:dyDescent="0.25">
      <c r="A30" s="218"/>
      <c r="B30" s="215"/>
      <c r="C30" s="215"/>
      <c r="D30" s="205"/>
      <c r="E30" s="205"/>
      <c r="F30" s="205"/>
      <c r="G30" s="205"/>
      <c r="H30" s="205"/>
      <c r="I30" s="205"/>
      <c r="J30" s="215"/>
      <c r="K30" s="215"/>
      <c r="L30" s="215"/>
      <c r="M30" s="215"/>
      <c r="N30" s="216"/>
      <c r="O30" s="183"/>
      <c r="P30" s="183"/>
      <c r="Q30" s="183"/>
      <c r="R30" s="183"/>
      <c r="S30" s="183"/>
      <c r="T30" s="183"/>
      <c r="U30" s="65" t="s">
        <v>33</v>
      </c>
      <c r="V30" s="247" t="e">
        <f>+DATOS!D23</f>
        <v>#DIV/0!</v>
      </c>
      <c r="W30" s="247" t="e">
        <f>+DATOS!F23</f>
        <v>#DIV/0!</v>
      </c>
      <c r="X30" s="247" t="e">
        <f>+DATOS!H23</f>
        <v>#DIV/0!</v>
      </c>
      <c r="Y30" s="247" t="e">
        <f>+DATOS!J23</f>
        <v>#DIV/0!</v>
      </c>
      <c r="Z30" s="247" t="e">
        <f>+DATOS!L23</f>
        <v>#DIV/0!</v>
      </c>
      <c r="AA30" s="199"/>
      <c r="AB30" s="199"/>
      <c r="AC30" s="199"/>
      <c r="AD30" s="199"/>
      <c r="AE30" s="199"/>
      <c r="AF30" s="199"/>
    </row>
    <row r="31" spans="1:32" ht="18.75" customHeight="1" x14ac:dyDescent="0.25">
      <c r="A31" s="219"/>
      <c r="B31" s="205"/>
      <c r="C31" s="205"/>
      <c r="D31" s="205"/>
      <c r="E31" s="205"/>
      <c r="F31" s="205"/>
      <c r="G31" s="215"/>
      <c r="H31" s="215"/>
      <c r="I31" s="215"/>
      <c r="J31" s="205"/>
      <c r="K31" s="205"/>
      <c r="L31" s="205"/>
      <c r="M31" s="215"/>
      <c r="N31" s="216"/>
      <c r="O31" s="183"/>
      <c r="P31" s="183"/>
      <c r="Q31" s="183"/>
      <c r="R31" s="183"/>
      <c r="S31" s="183"/>
      <c r="T31" s="183"/>
      <c r="U31" s="249" t="s">
        <v>203</v>
      </c>
      <c r="V31" s="180"/>
      <c r="W31" s="233"/>
      <c r="X31" s="261"/>
      <c r="Y31" s="901" t="e">
        <f>AVERAGE(Y30:Z30)</f>
        <v>#DIV/0!</v>
      </c>
      <c r="Z31" s="901"/>
      <c r="AA31" s="199"/>
      <c r="AB31" s="199"/>
      <c r="AC31" s="199"/>
      <c r="AD31" s="199"/>
      <c r="AE31" s="199"/>
      <c r="AF31" s="199"/>
    </row>
    <row r="32" spans="1:32" ht="18.75" customHeight="1" x14ac:dyDescent="0.25">
      <c r="A32" s="219"/>
      <c r="B32" s="205"/>
      <c r="C32" s="205"/>
      <c r="D32" s="220"/>
      <c r="E32" s="21"/>
      <c r="F32" s="21"/>
      <c r="G32" s="21"/>
      <c r="H32" s="21"/>
      <c r="I32" s="21"/>
      <c r="J32" s="781" t="s">
        <v>204</v>
      </c>
      <c r="K32" s="782"/>
      <c r="L32" s="221" t="str">
        <f>IF(V20="-","",IF(V20="NO","NP",ROUND(V42,0)))</f>
        <v/>
      </c>
      <c r="M32" s="215"/>
      <c r="N32" s="216"/>
      <c r="O32" s="183"/>
      <c r="P32" s="183"/>
      <c r="Q32" s="183"/>
      <c r="R32" s="183"/>
      <c r="S32" s="183"/>
      <c r="T32" s="183"/>
      <c r="W32" s="100"/>
      <c r="X32" s="92"/>
      <c r="Y32" s="92"/>
      <c r="Z32" s="97"/>
      <c r="AA32" s="97"/>
      <c r="AB32" s="90"/>
      <c r="AC32" s="90"/>
      <c r="AD32" s="90"/>
    </row>
    <row r="33" spans="1:30" ht="18.75" customHeight="1" x14ac:dyDescent="0.25">
      <c r="A33" s="219"/>
      <c r="B33" s="205"/>
      <c r="C33" s="205"/>
      <c r="D33" s="222"/>
      <c r="E33" s="21"/>
      <c r="F33" s="21"/>
      <c r="G33" s="21"/>
      <c r="H33" s="21"/>
      <c r="I33" s="21"/>
      <c r="J33" s="205"/>
      <c r="K33" s="205"/>
      <c r="L33" s="223"/>
      <c r="M33" s="215"/>
      <c r="N33" s="216"/>
      <c r="O33" s="183"/>
      <c r="P33" s="183"/>
      <c r="Q33" s="183"/>
      <c r="R33" s="183"/>
      <c r="S33" s="183"/>
      <c r="T33" s="183"/>
      <c r="U33" s="233" t="s">
        <v>37</v>
      </c>
      <c r="V33" s="233" t="s">
        <v>38</v>
      </c>
      <c r="W33" s="262"/>
      <c r="X33" s="576" t="s">
        <v>259</v>
      </c>
      <c r="Y33" s="514" t="s">
        <v>155</v>
      </c>
      <c r="Z33" s="515" t="s">
        <v>54</v>
      </c>
      <c r="AA33" s="259"/>
      <c r="AB33" s="90"/>
      <c r="AC33" s="90"/>
      <c r="AD33" s="90"/>
    </row>
    <row r="34" spans="1:30" ht="18.75" customHeight="1" x14ac:dyDescent="0.25">
      <c r="A34" s="224"/>
      <c r="B34" s="230"/>
      <c r="C34" s="230"/>
      <c r="D34" s="222"/>
      <c r="E34" s="21"/>
      <c r="F34" s="21"/>
      <c r="G34" s="21"/>
      <c r="H34" s="21"/>
      <c r="I34" s="21"/>
      <c r="J34" s="781" t="s">
        <v>205</v>
      </c>
      <c r="K34" s="782"/>
      <c r="L34" s="221" t="str">
        <f>IF(V20="-","",IF(Y20="NO","NP",ROUND(Y31,0)))</f>
        <v/>
      </c>
      <c r="M34" s="215"/>
      <c r="N34" s="216"/>
      <c r="O34" s="183"/>
      <c r="P34" s="183"/>
      <c r="Q34" s="183"/>
      <c r="R34" s="183"/>
      <c r="S34" s="183"/>
      <c r="T34" s="183"/>
      <c r="U34" s="248" t="str">
        <f>G23</f>
        <v/>
      </c>
      <c r="V34" s="247" t="str">
        <f>G29</f>
        <v/>
      </c>
      <c r="W34" s="262"/>
      <c r="X34" s="581" t="e">
        <f>+LN(Y34)</f>
        <v>#VALUE!</v>
      </c>
      <c r="Y34" s="516" t="str">
        <f>G23</f>
        <v/>
      </c>
      <c r="Z34" s="517" t="str">
        <f>G29</f>
        <v/>
      </c>
      <c r="AB34" s="90"/>
      <c r="AC34" s="90"/>
      <c r="AD34" s="90"/>
    </row>
    <row r="35" spans="1:30" ht="18.75" customHeight="1" x14ac:dyDescent="0.25">
      <c r="A35" s="224"/>
      <c r="B35" s="230"/>
      <c r="C35" s="230"/>
      <c r="D35" s="222"/>
      <c r="E35" s="21"/>
      <c r="F35" s="21"/>
      <c r="G35" s="220"/>
      <c r="H35" s="21"/>
      <c r="I35" s="21"/>
      <c r="J35" s="205"/>
      <c r="K35" s="205"/>
      <c r="L35" s="632"/>
      <c r="M35" s="215"/>
      <c r="N35" s="216"/>
      <c r="O35" s="183"/>
      <c r="P35" s="183"/>
      <c r="Q35" s="183"/>
      <c r="R35" s="183"/>
      <c r="S35" s="183"/>
      <c r="T35" s="183"/>
      <c r="U35" s="233" t="str">
        <f>H23</f>
        <v/>
      </c>
      <c r="V35" s="247" t="str">
        <f>H29</f>
        <v/>
      </c>
      <c r="W35" s="262"/>
      <c r="X35" s="581" t="e">
        <f>+LN(Y35)</f>
        <v>#VALUE!</v>
      </c>
      <c r="Y35" s="345" t="str">
        <f>H23</f>
        <v/>
      </c>
      <c r="Z35" s="517" t="str">
        <f>H29</f>
        <v/>
      </c>
      <c r="AB35" s="90"/>
      <c r="AC35" s="90"/>
      <c r="AD35" s="90"/>
    </row>
    <row r="36" spans="1:30" ht="21.75" customHeight="1" x14ac:dyDescent="0.25">
      <c r="A36" s="225"/>
      <c r="B36" s="288"/>
      <c r="C36" s="288"/>
      <c r="D36" s="209"/>
      <c r="E36" s="209"/>
      <c r="F36" s="209"/>
      <c r="G36" s="209"/>
      <c r="H36" s="209"/>
      <c r="I36" s="209"/>
      <c r="J36" s="781" t="s">
        <v>77</v>
      </c>
      <c r="K36" s="782"/>
      <c r="L36" s="221" t="str">
        <f>IF(Y20="-","",IF(Y20="NO","NP",L32-L34))</f>
        <v/>
      </c>
      <c r="M36" s="215"/>
      <c r="N36" s="216"/>
      <c r="O36" s="183"/>
      <c r="P36" s="183"/>
      <c r="Q36" s="183"/>
      <c r="R36" s="183"/>
      <c r="S36" s="183"/>
      <c r="T36" s="183"/>
      <c r="U36" s="233" t="str">
        <f>I23</f>
        <v/>
      </c>
      <c r="V36" s="247" t="str">
        <f>I29</f>
        <v/>
      </c>
      <c r="W36" s="262"/>
      <c r="X36" s="581" t="e">
        <f>+LN(Y36)</f>
        <v>#VALUE!</v>
      </c>
      <c r="Y36" s="518" t="str">
        <f>I23</f>
        <v/>
      </c>
      <c r="Z36" s="519" t="str">
        <f>I29</f>
        <v/>
      </c>
      <c r="AB36" s="90"/>
      <c r="AC36" s="90"/>
      <c r="AD36" s="90"/>
    </row>
    <row r="37" spans="1:30" ht="18.75" customHeight="1" x14ac:dyDescent="0.25">
      <c r="A37" s="225"/>
      <c r="B37" s="288"/>
      <c r="C37" s="288"/>
      <c r="D37" s="21"/>
      <c r="E37" s="21"/>
      <c r="F37" s="21"/>
      <c r="G37" s="21"/>
      <c r="H37" s="21"/>
      <c r="I37" s="21"/>
      <c r="J37" s="205"/>
      <c r="K37" s="205"/>
      <c r="L37" s="205"/>
      <c r="M37" s="215"/>
      <c r="N37" s="216"/>
      <c r="O37" s="183"/>
      <c r="P37" s="183"/>
      <c r="Q37" s="183"/>
      <c r="R37" s="183"/>
      <c r="S37" s="183"/>
      <c r="T37" s="183"/>
      <c r="U37" s="233">
        <v>25</v>
      </c>
      <c r="V37" s="233">
        <v>0</v>
      </c>
      <c r="W37" s="262"/>
      <c r="Y37" s="520" t="s">
        <v>154</v>
      </c>
      <c r="Z37" s="521" t="e">
        <f>AVERAGE(Z34:Z36)</f>
        <v>#DIV/0!</v>
      </c>
      <c r="AA37" s="234"/>
      <c r="AB37" s="205"/>
      <c r="AC37" s="205"/>
      <c r="AD37" s="205"/>
    </row>
    <row r="38" spans="1:30" ht="18.75" customHeight="1" x14ac:dyDescent="0.25">
      <c r="A38" s="226"/>
      <c r="B38" s="289"/>
      <c r="C38" s="289"/>
      <c r="D38" s="227"/>
      <c r="E38" s="227"/>
      <c r="F38" s="227"/>
      <c r="G38" s="227"/>
      <c r="H38" s="227"/>
      <c r="I38" s="227"/>
      <c r="J38" s="227"/>
      <c r="K38" s="228"/>
      <c r="L38" s="228"/>
      <c r="M38" s="228"/>
      <c r="N38" s="229"/>
      <c r="O38" s="183"/>
      <c r="P38" s="183"/>
      <c r="Q38" s="183"/>
      <c r="R38" s="183"/>
      <c r="S38" s="183"/>
      <c r="T38" s="183"/>
      <c r="U38" s="233">
        <v>25</v>
      </c>
      <c r="V38" s="83" t="e">
        <f>+Z42</f>
        <v>#VALUE!</v>
      </c>
      <c r="W38" s="92"/>
      <c r="X38" s="171"/>
      <c r="Y38" s="171"/>
      <c r="Z38" s="522"/>
      <c r="AA38" s="108"/>
      <c r="AB38" s="205"/>
      <c r="AC38" s="205"/>
      <c r="AD38" s="205"/>
    </row>
    <row r="39" spans="1:30" ht="31.2" customHeight="1" x14ac:dyDescent="0.25">
      <c r="A39" s="220"/>
      <c r="B39" s="220"/>
      <c r="C39" s="220"/>
      <c r="D39" s="21"/>
      <c r="E39" s="21"/>
      <c r="F39" s="21"/>
      <c r="G39" s="21"/>
      <c r="H39" s="21"/>
      <c r="I39" s="21"/>
      <c r="J39" s="21"/>
      <c r="K39" s="215"/>
      <c r="L39" s="215"/>
      <c r="M39" s="215"/>
      <c r="N39" s="215"/>
      <c r="O39" s="183"/>
      <c r="P39" s="183"/>
      <c r="Q39" s="183"/>
      <c r="R39" s="183"/>
      <c r="S39" s="183"/>
      <c r="T39" s="183"/>
      <c r="U39" s="233">
        <v>10</v>
      </c>
      <c r="V39" s="83" t="e">
        <f>+V38</f>
        <v>#VALUE!</v>
      </c>
      <c r="W39" s="231"/>
      <c r="Y39" s="523" t="s">
        <v>153</v>
      </c>
      <c r="Z39" s="577" t="e">
        <f>SLOPE(Z34:Z36,X34:X36)</f>
        <v>#VALUE!</v>
      </c>
      <c r="AA39" s="205"/>
      <c r="AB39" s="205"/>
      <c r="AC39" s="205"/>
      <c r="AD39" s="205"/>
    </row>
    <row r="40" spans="1:30" ht="15.9" customHeight="1" x14ac:dyDescent="0.25">
      <c r="A40" s="144"/>
      <c r="B40" s="144"/>
      <c r="C40" s="144"/>
      <c r="D40" s="21"/>
      <c r="E40" s="21"/>
      <c r="F40" s="21"/>
      <c r="G40" s="21"/>
      <c r="H40" s="21"/>
      <c r="I40" s="21"/>
      <c r="J40" s="21"/>
      <c r="K40" s="215"/>
      <c r="L40" s="215"/>
      <c r="M40" s="215"/>
      <c r="N40" s="215"/>
      <c r="O40" s="183"/>
      <c r="P40" s="183"/>
      <c r="Q40" s="183"/>
      <c r="R40" s="183"/>
      <c r="S40" s="183"/>
      <c r="T40" s="183"/>
      <c r="U40" s="231"/>
      <c r="V40" s="231"/>
      <c r="W40" s="231"/>
      <c r="Y40" s="523" t="s">
        <v>152</v>
      </c>
      <c r="Z40" s="577" t="e">
        <f>INTERCEPT(Z34:Z36,X34:X36)</f>
        <v>#VALUE!</v>
      </c>
      <c r="AA40" s="205"/>
      <c r="AB40" s="205"/>
      <c r="AC40" s="205"/>
      <c r="AD40" s="205"/>
    </row>
    <row r="41" spans="1:30" ht="15.9" customHeight="1" x14ac:dyDescent="0.25">
      <c r="A41" s="230"/>
      <c r="B41" s="230"/>
      <c r="C41" s="230"/>
      <c r="D41" s="21"/>
      <c r="E41" s="21"/>
      <c r="F41" s="21"/>
      <c r="G41" s="21"/>
      <c r="H41" s="21"/>
      <c r="I41" s="21"/>
      <c r="J41" s="21"/>
      <c r="K41" s="215"/>
      <c r="L41" s="215"/>
      <c r="M41" s="215"/>
      <c r="N41" s="215"/>
      <c r="O41" s="183"/>
      <c r="P41" s="183"/>
      <c r="Q41" s="183"/>
      <c r="R41" s="183"/>
      <c r="S41" s="183"/>
      <c r="T41" s="183"/>
      <c r="U41" s="525"/>
      <c r="V41" s="525"/>
      <c r="W41" s="525"/>
      <c r="X41" s="524"/>
      <c r="Y41" s="524"/>
      <c r="Z41" s="524"/>
      <c r="AA41" s="205"/>
      <c r="AB41" s="205"/>
      <c r="AC41" s="205"/>
      <c r="AD41" s="205"/>
    </row>
    <row r="42" spans="1:30" ht="15.9" customHeight="1" x14ac:dyDescent="0.25">
      <c r="A42" s="230"/>
      <c r="B42" s="230"/>
      <c r="C42" s="230"/>
      <c r="D42" s="21"/>
      <c r="E42" s="21"/>
      <c r="F42" s="21"/>
      <c r="G42" s="21"/>
      <c r="H42" s="21"/>
      <c r="I42" s="21"/>
      <c r="J42" s="21"/>
      <c r="K42" s="215"/>
      <c r="L42" s="215"/>
      <c r="M42" s="215"/>
      <c r="N42" s="215"/>
      <c r="O42" s="183"/>
      <c r="P42" s="183"/>
      <c r="Q42" s="183"/>
      <c r="R42" s="183"/>
      <c r="S42" s="183"/>
      <c r="T42" s="183"/>
      <c r="U42" s="597" t="s">
        <v>264</v>
      </c>
      <c r="V42" s="598"/>
      <c r="W42" s="525"/>
      <c r="X42" s="893" t="s">
        <v>176</v>
      </c>
      <c r="Y42" s="894"/>
      <c r="Z42" s="577" t="e">
        <f>(Z39*LN(25)+Z40)</f>
        <v>#VALUE!</v>
      </c>
      <c r="AB42" s="205"/>
      <c r="AC42" s="205"/>
      <c r="AD42" s="205"/>
    </row>
    <row r="43" spans="1:30" ht="21" customHeight="1" x14ac:dyDescent="0.25">
      <c r="A43" s="205"/>
      <c r="B43" s="205"/>
      <c r="C43" s="205"/>
      <c r="D43" s="21"/>
      <c r="E43" s="21"/>
      <c r="F43" s="21"/>
      <c r="G43" s="21"/>
      <c r="H43" s="21"/>
      <c r="I43" s="21"/>
      <c r="J43" s="21"/>
      <c r="K43" s="215"/>
      <c r="L43" s="215"/>
      <c r="M43" s="215"/>
      <c r="N43" s="215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205"/>
      <c r="AB43" s="205"/>
      <c r="AC43" s="205"/>
      <c r="AD43" s="205"/>
    </row>
    <row r="44" spans="1:30" ht="15.9" customHeight="1" x14ac:dyDescent="0.25">
      <c r="B44" s="92"/>
      <c r="C44" s="92"/>
      <c r="D44" s="209"/>
      <c r="E44" s="209"/>
      <c r="F44" s="209"/>
      <c r="G44" s="21"/>
      <c r="H44" s="21"/>
      <c r="I44" s="21"/>
      <c r="J44" s="21"/>
      <c r="K44" s="215"/>
      <c r="L44" s="215"/>
      <c r="M44" s="215"/>
      <c r="N44" s="215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234"/>
      <c r="AB44" s="205"/>
      <c r="AC44" s="205"/>
      <c r="AD44" s="205"/>
    </row>
    <row r="45" spans="1:30" x14ac:dyDescent="0.25">
      <c r="A45" s="92" t="s">
        <v>97</v>
      </c>
      <c r="B45" s="92"/>
      <c r="C45" s="92"/>
      <c r="D45" s="209"/>
      <c r="E45" s="209"/>
      <c r="F45" s="209"/>
      <c r="G45" s="21"/>
      <c r="H45" s="21"/>
      <c r="I45" s="21"/>
      <c r="J45" s="21"/>
      <c r="K45" s="215"/>
      <c r="L45" s="215"/>
      <c r="M45" s="215"/>
      <c r="N45" s="215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203"/>
      <c r="AA45" s="234"/>
      <c r="AB45" s="205"/>
      <c r="AC45" s="205"/>
      <c r="AD45" s="205"/>
    </row>
    <row r="46" spans="1:30" x14ac:dyDescent="0.25">
      <c r="A46" s="92" t="s">
        <v>343</v>
      </c>
      <c r="B46" s="92"/>
      <c r="C46" s="92"/>
      <c r="D46" s="209"/>
      <c r="E46" s="209"/>
      <c r="F46" s="209"/>
      <c r="G46" s="21"/>
      <c r="H46" s="21"/>
      <c r="I46" s="21"/>
      <c r="J46" s="21"/>
      <c r="K46" s="215"/>
      <c r="L46" s="215"/>
      <c r="M46" s="215"/>
      <c r="N46" s="215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231"/>
      <c r="AA46" s="205"/>
      <c r="AB46" s="205"/>
      <c r="AC46" s="205"/>
      <c r="AD46" s="205"/>
    </row>
    <row r="47" spans="1:30" ht="15" customHeight="1" x14ac:dyDescent="0.25">
      <c r="A47" s="15"/>
      <c r="B47" s="15"/>
      <c r="C47" s="15"/>
      <c r="D47" s="209"/>
      <c r="E47" s="209"/>
      <c r="F47" s="209"/>
      <c r="G47" s="21"/>
      <c r="H47" s="21"/>
      <c r="I47" s="21"/>
      <c r="J47" s="21"/>
      <c r="K47" s="215"/>
      <c r="L47" s="215"/>
      <c r="M47" s="215"/>
      <c r="N47" s="215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259"/>
      <c r="AA47" s="245"/>
      <c r="AB47" s="245"/>
      <c r="AC47" s="245"/>
      <c r="AD47" s="245"/>
    </row>
    <row r="48" spans="1:30" ht="6.75" customHeight="1" x14ac:dyDescent="0.25">
      <c r="A48" s="15"/>
      <c r="B48" s="15"/>
      <c r="C48" s="15"/>
      <c r="D48" s="209"/>
      <c r="E48" s="209"/>
      <c r="F48" s="209"/>
      <c r="G48" s="21"/>
      <c r="H48" s="21"/>
      <c r="I48" s="21"/>
      <c r="J48" s="21"/>
      <c r="K48" s="215"/>
      <c r="L48" s="215"/>
      <c r="M48" s="215"/>
      <c r="N48" s="215"/>
      <c r="O48" s="183"/>
      <c r="P48" s="183"/>
      <c r="Q48" s="183"/>
      <c r="R48" s="183"/>
      <c r="S48" s="183"/>
      <c r="T48" s="183"/>
      <c r="X48" s="205"/>
      <c r="Y48" s="205"/>
      <c r="Z48" s="205"/>
      <c r="AA48" s="205"/>
      <c r="AB48" s="205"/>
      <c r="AC48" s="205"/>
      <c r="AD48" s="205"/>
    </row>
    <row r="49" spans="1:27" ht="6.75" customHeight="1" x14ac:dyDescent="0.25">
      <c r="A49" s="15"/>
      <c r="B49" s="15"/>
      <c r="C49" s="15"/>
      <c r="D49" s="209"/>
      <c r="E49" s="209"/>
      <c r="F49" s="209"/>
      <c r="G49" s="21"/>
      <c r="H49" s="21"/>
      <c r="I49" s="21"/>
      <c r="J49" s="21"/>
      <c r="K49" s="215"/>
      <c r="L49" s="215"/>
      <c r="M49" s="215"/>
      <c r="N49" s="215"/>
      <c r="O49" s="183"/>
      <c r="P49" s="183"/>
      <c r="Q49" s="183"/>
      <c r="R49" s="183"/>
      <c r="S49" s="183"/>
      <c r="T49" s="183"/>
      <c r="X49" s="202"/>
      <c r="Y49" s="202"/>
      <c r="Z49" s="202"/>
      <c r="AA49" s="202"/>
    </row>
    <row r="50" spans="1:27" ht="6.75" customHeight="1" x14ac:dyDescent="0.25">
      <c r="A50" s="15"/>
      <c r="B50" s="15"/>
      <c r="C50" s="15"/>
      <c r="D50" s="209"/>
      <c r="E50" s="209"/>
      <c r="F50" s="209"/>
      <c r="G50" s="21"/>
      <c r="H50" s="21"/>
      <c r="I50" s="21"/>
      <c r="J50" s="21"/>
      <c r="K50" s="215"/>
      <c r="L50" s="215"/>
      <c r="M50" s="215"/>
      <c r="N50" s="215"/>
      <c r="O50" s="183"/>
      <c r="P50" s="183"/>
      <c r="Q50" s="183"/>
      <c r="R50" s="183"/>
      <c r="S50" s="183"/>
      <c r="T50" s="183"/>
      <c r="X50" s="202"/>
      <c r="Y50" s="202"/>
      <c r="Z50" s="202"/>
      <c r="AA50" s="202"/>
    </row>
    <row r="51" spans="1:27" s="283" customFormat="1" ht="21.75" customHeight="1" x14ac:dyDescent="0.25">
      <c r="A51" s="297" t="s">
        <v>219</v>
      </c>
      <c r="B51" s="297"/>
      <c r="C51" s="297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183"/>
      <c r="P51" s="183"/>
      <c r="Q51" s="183"/>
      <c r="R51" s="183"/>
      <c r="S51" s="183"/>
      <c r="T51" s="282"/>
    </row>
    <row r="52" spans="1:27" s="283" customFormat="1" ht="18" customHeight="1" x14ac:dyDescent="0.25">
      <c r="A52" s="306" t="s">
        <v>224</v>
      </c>
      <c r="B52" s="291"/>
      <c r="C52" s="291"/>
      <c r="D52" s="292"/>
      <c r="E52" s="293"/>
      <c r="F52" s="293"/>
      <c r="G52" s="293"/>
      <c r="H52" s="293"/>
      <c r="I52" s="231"/>
      <c r="J52" s="231"/>
      <c r="K52" s="892">
        <f>+FORMATO!J17</f>
        <v>0</v>
      </c>
      <c r="L52" s="892"/>
      <c r="M52" s="892"/>
      <c r="N52" s="892"/>
      <c r="O52" s="203"/>
      <c r="P52" s="183"/>
      <c r="Q52" s="183"/>
      <c r="R52" s="183"/>
      <c r="S52" s="183"/>
      <c r="T52" s="282"/>
    </row>
    <row r="53" spans="1:27" s="283" customFormat="1" ht="18" customHeight="1" x14ac:dyDescent="0.25">
      <c r="A53" s="306" t="s">
        <v>225</v>
      </c>
      <c r="B53" s="291"/>
      <c r="C53" s="291"/>
      <c r="D53" s="292"/>
      <c r="E53" s="293"/>
      <c r="F53" s="293"/>
      <c r="G53" s="293"/>
      <c r="H53" s="293"/>
      <c r="I53" s="231"/>
      <c r="J53" s="231"/>
      <c r="K53" s="892">
        <f>+FORMATO!J18</f>
        <v>0</v>
      </c>
      <c r="L53" s="892"/>
      <c r="M53" s="892"/>
      <c r="N53" s="892"/>
      <c r="O53" s="203"/>
      <c r="P53" s="183"/>
      <c r="Q53" s="183"/>
      <c r="R53" s="183"/>
      <c r="S53" s="183"/>
      <c r="T53" s="282"/>
    </row>
    <row r="54" spans="1:27" s="283" customFormat="1" ht="18" customHeight="1" x14ac:dyDescent="0.25">
      <c r="A54" s="306" t="s">
        <v>226</v>
      </c>
      <c r="B54" s="291"/>
      <c r="C54" s="291"/>
      <c r="D54" s="292"/>
      <c r="E54" s="293"/>
      <c r="F54" s="293"/>
      <c r="G54" s="293"/>
      <c r="H54" s="293"/>
      <c r="I54" s="231"/>
      <c r="J54" s="231"/>
      <c r="K54" s="892">
        <f>+FORMATO!J19</f>
        <v>0</v>
      </c>
      <c r="L54" s="892"/>
      <c r="M54" s="892"/>
      <c r="N54" s="892"/>
      <c r="O54" s="203"/>
      <c r="P54" s="183"/>
      <c r="Q54" s="183"/>
      <c r="R54" s="183"/>
      <c r="S54" s="183"/>
      <c r="T54" s="282"/>
    </row>
    <row r="55" spans="1:27" s="283" customFormat="1" ht="18" customHeight="1" x14ac:dyDescent="0.25">
      <c r="A55" s="306" t="s">
        <v>227</v>
      </c>
      <c r="B55" s="291"/>
      <c r="C55" s="291"/>
      <c r="D55" s="292"/>
      <c r="E55" s="293"/>
      <c r="F55" s="293"/>
      <c r="G55" s="293"/>
      <c r="H55" s="293"/>
      <c r="I55" s="231"/>
      <c r="J55" s="231"/>
      <c r="K55" s="892">
        <f>+FORMATO!J20</f>
        <v>0</v>
      </c>
      <c r="L55" s="892"/>
      <c r="M55" s="892"/>
      <c r="N55" s="892"/>
      <c r="O55" s="203"/>
      <c r="P55" s="183"/>
      <c r="Q55" s="183"/>
      <c r="R55" s="183"/>
      <c r="S55" s="183"/>
      <c r="T55" s="282"/>
      <c r="U55" s="285"/>
    </row>
    <row r="56" spans="1:27" s="283" customFormat="1" ht="18" customHeight="1" x14ac:dyDescent="0.25">
      <c r="A56" s="306" t="s">
        <v>228</v>
      </c>
      <c r="B56" s="291"/>
      <c r="C56" s="291"/>
      <c r="D56" s="292"/>
      <c r="E56" s="293"/>
      <c r="F56" s="293"/>
      <c r="G56" s="293"/>
      <c r="H56" s="293"/>
      <c r="I56" s="231"/>
      <c r="J56" s="231"/>
      <c r="K56" s="892">
        <f>+FORMATO!J22</f>
        <v>0</v>
      </c>
      <c r="L56" s="892"/>
      <c r="M56" s="892"/>
      <c r="N56" s="892"/>
      <c r="O56" s="203"/>
      <c r="P56" s="183"/>
      <c r="Q56" s="183"/>
      <c r="R56" s="183"/>
      <c r="S56" s="183"/>
      <c r="T56" s="282"/>
    </row>
    <row r="57" spans="1:27" s="283" customFormat="1" ht="18" customHeight="1" x14ac:dyDescent="0.25">
      <c r="A57" s="306" t="s">
        <v>229</v>
      </c>
      <c r="B57" s="291"/>
      <c r="C57" s="291"/>
      <c r="D57" s="231"/>
      <c r="E57" s="231"/>
      <c r="F57" s="231"/>
      <c r="G57" s="231"/>
      <c r="H57" s="231"/>
      <c r="I57" s="231"/>
      <c r="J57" s="231"/>
      <c r="K57" s="892">
        <f>+FORMATO!J23</f>
        <v>0</v>
      </c>
      <c r="L57" s="892"/>
      <c r="M57" s="892"/>
      <c r="N57" s="892"/>
      <c r="O57" s="290"/>
      <c r="P57" s="183"/>
      <c r="Q57" s="183"/>
      <c r="R57" s="183"/>
      <c r="S57" s="183"/>
      <c r="T57" s="282"/>
    </row>
    <row r="58" spans="1:27" s="283" customFormat="1" ht="10.5" customHeight="1" x14ac:dyDescent="0.25">
      <c r="A58" s="292"/>
      <c r="B58" s="292"/>
      <c r="C58" s="292"/>
      <c r="D58" s="231"/>
      <c r="E58" s="231"/>
      <c r="F58" s="231"/>
      <c r="G58" s="231"/>
      <c r="H58" s="231"/>
      <c r="I58" s="179"/>
      <c r="J58" s="231"/>
      <c r="K58" s="179"/>
      <c r="L58" s="97"/>
      <c r="M58" s="97"/>
      <c r="N58" s="97"/>
      <c r="O58" s="203"/>
      <c r="P58" s="183"/>
      <c r="Q58" s="183"/>
      <c r="R58" s="183"/>
      <c r="S58" s="183"/>
      <c r="T58" s="282"/>
    </row>
    <row r="59" spans="1:27" s="283" customFormat="1" ht="21.75" customHeight="1" x14ac:dyDescent="0.25">
      <c r="A59" s="297" t="s">
        <v>222</v>
      </c>
      <c r="B59" s="297"/>
      <c r="C59" s="297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03"/>
      <c r="P59" s="179"/>
      <c r="Q59" s="179"/>
      <c r="R59" s="179"/>
      <c r="S59" s="179"/>
    </row>
    <row r="60" spans="1:27" s="283" customFormat="1" ht="18" customHeight="1" x14ac:dyDescent="0.25">
      <c r="A60" s="307" t="s">
        <v>230</v>
      </c>
      <c r="B60" s="162"/>
      <c r="C60" s="162"/>
      <c r="D60" s="298"/>
      <c r="E60" s="298"/>
      <c r="F60" s="179"/>
      <c r="G60" s="179"/>
      <c r="H60" s="179"/>
      <c r="I60" s="892">
        <f>+FORMATO!J29</f>
        <v>0</v>
      </c>
      <c r="J60" s="892"/>
      <c r="K60" s="231"/>
      <c r="L60" s="231"/>
      <c r="M60" s="231"/>
      <c r="N60" s="231"/>
      <c r="O60" s="203"/>
      <c r="P60" s="179"/>
      <c r="Q60" s="179"/>
      <c r="R60" s="179"/>
      <c r="S60" s="179"/>
    </row>
    <row r="61" spans="1:27" s="283" customFormat="1" ht="18" customHeight="1" x14ac:dyDescent="0.25">
      <c r="A61" s="307" t="s">
        <v>231</v>
      </c>
      <c r="B61" s="162"/>
      <c r="C61" s="162"/>
      <c r="D61" s="298"/>
      <c r="E61" s="298"/>
      <c r="F61" s="179"/>
      <c r="G61" s="179"/>
      <c r="H61" s="179"/>
      <c r="I61" s="892">
        <f>+FORMATO!J30</f>
        <v>0</v>
      </c>
      <c r="J61" s="892"/>
      <c r="K61" s="231"/>
      <c r="L61" s="231"/>
      <c r="M61" s="231"/>
      <c r="N61" s="231"/>
      <c r="O61" s="203"/>
      <c r="P61" s="179"/>
      <c r="Q61" s="179"/>
      <c r="R61" s="179"/>
      <c r="S61" s="179"/>
    </row>
    <row r="62" spans="1:27" s="283" customFormat="1" ht="18" customHeight="1" x14ac:dyDescent="0.25">
      <c r="A62" s="307" t="s">
        <v>232</v>
      </c>
      <c r="B62" s="162"/>
      <c r="C62" s="162"/>
      <c r="D62" s="298"/>
      <c r="E62" s="298"/>
      <c r="F62" s="179"/>
      <c r="G62" s="179"/>
      <c r="H62" s="179"/>
      <c r="I62" s="892">
        <f>+FORMATO!J31</f>
        <v>0</v>
      </c>
      <c r="J62" s="892"/>
      <c r="K62" s="231"/>
      <c r="L62" s="231"/>
      <c r="M62" s="231"/>
      <c r="N62" s="231"/>
      <c r="O62" s="203"/>
      <c r="P62" s="179"/>
      <c r="Q62" s="179"/>
      <c r="R62" s="179"/>
      <c r="S62" s="179"/>
    </row>
    <row r="63" spans="1:27" s="283" customFormat="1" ht="18" customHeight="1" x14ac:dyDescent="0.25">
      <c r="A63" s="307" t="s">
        <v>233</v>
      </c>
      <c r="B63" s="162"/>
      <c r="C63" s="162"/>
      <c r="D63" s="298"/>
      <c r="E63" s="298"/>
      <c r="F63" s="179"/>
      <c r="G63" s="179"/>
      <c r="H63" s="179"/>
      <c r="I63" s="896">
        <f>+FORMATO!J32</f>
        <v>0</v>
      </c>
      <c r="J63" s="896"/>
      <c r="K63" s="231"/>
      <c r="L63" s="231"/>
      <c r="M63" s="231"/>
      <c r="N63" s="231"/>
      <c r="O63" s="203"/>
      <c r="P63" s="179"/>
      <c r="Q63" s="179"/>
      <c r="R63" s="179"/>
      <c r="S63" s="179"/>
    </row>
    <row r="64" spans="1:27" s="283" customFormat="1" ht="18" customHeight="1" x14ac:dyDescent="0.25">
      <c r="A64" s="307" t="s">
        <v>234</v>
      </c>
      <c r="B64" s="162"/>
      <c r="C64" s="162"/>
      <c r="D64" s="298"/>
      <c r="E64" s="298"/>
      <c r="F64" s="179"/>
      <c r="G64" s="179"/>
      <c r="H64" s="179"/>
      <c r="I64" s="892">
        <f>+FORMATO!J33</f>
        <v>0</v>
      </c>
      <c r="J64" s="892"/>
      <c r="K64" s="231"/>
      <c r="L64" s="231"/>
      <c r="M64" s="231"/>
      <c r="N64" s="231"/>
      <c r="O64" s="203"/>
      <c r="P64" s="179"/>
      <c r="Q64" s="179"/>
      <c r="R64" s="179"/>
      <c r="S64" s="179"/>
    </row>
    <row r="65" spans="1:19" s="283" customFormat="1" ht="18" customHeight="1" x14ac:dyDescent="0.25">
      <c r="A65" s="306" t="s">
        <v>267</v>
      </c>
      <c r="B65" s="299"/>
      <c r="C65" s="299"/>
      <c r="D65" s="300"/>
      <c r="E65" s="301"/>
      <c r="F65" s="301"/>
      <c r="G65" s="301"/>
      <c r="H65" s="301"/>
      <c r="I65" s="897">
        <f>+FORMATO!J21</f>
        <v>0</v>
      </c>
      <c r="J65" s="897"/>
      <c r="K65" s="898">
        <v>0</v>
      </c>
      <c r="L65" s="899"/>
      <c r="M65" s="899"/>
      <c r="N65" s="899"/>
      <c r="O65" s="296"/>
      <c r="P65" s="183"/>
      <c r="Q65" s="179"/>
      <c r="R65" s="179"/>
      <c r="S65" s="179"/>
    </row>
    <row r="66" spans="1:19" ht="12" customHeight="1" x14ac:dyDescent="0.25">
      <c r="A66" s="232"/>
      <c r="B66" s="232"/>
      <c r="C66" s="232"/>
      <c r="D66" s="231"/>
      <c r="E66" s="231"/>
      <c r="F66" s="203"/>
      <c r="G66" s="204"/>
      <c r="H66" s="231"/>
      <c r="I66" s="231"/>
      <c r="J66" s="231"/>
      <c r="K66" s="231"/>
      <c r="L66" s="231"/>
      <c r="M66" s="231"/>
      <c r="N66" s="231"/>
      <c r="O66" s="203"/>
    </row>
    <row r="67" spans="1:19" ht="15.75" customHeight="1" x14ac:dyDescent="0.25">
      <c r="A67" s="297" t="s">
        <v>223</v>
      </c>
      <c r="B67" s="297"/>
      <c r="C67" s="297"/>
      <c r="D67" s="302"/>
      <c r="E67" s="302"/>
      <c r="F67" s="302"/>
      <c r="G67" s="178"/>
      <c r="H67" s="178"/>
      <c r="I67" s="178"/>
      <c r="J67" s="178"/>
      <c r="K67" s="178"/>
      <c r="L67" s="178"/>
      <c r="M67" s="178"/>
      <c r="N67" s="178"/>
    </row>
    <row r="68" spans="1:19" ht="15.75" customHeight="1" x14ac:dyDescent="0.25">
      <c r="A68" s="889" t="s">
        <v>338</v>
      </c>
      <c r="B68" s="889"/>
      <c r="C68" s="889"/>
      <c r="D68" s="889"/>
      <c r="E68" s="889"/>
      <c r="F68" s="889"/>
      <c r="G68" s="889"/>
      <c r="H68" s="889"/>
      <c r="I68" s="889"/>
      <c r="J68" s="889"/>
      <c r="K68" s="889"/>
      <c r="L68" s="889"/>
      <c r="M68" s="889"/>
      <c r="N68" s="889"/>
    </row>
    <row r="69" spans="1:19" ht="33.6" customHeight="1" x14ac:dyDescent="0.25">
      <c r="A69" s="890" t="s">
        <v>339</v>
      </c>
      <c r="B69" s="890"/>
      <c r="C69" s="890"/>
      <c r="D69" s="890"/>
      <c r="E69" s="890"/>
      <c r="F69" s="890"/>
      <c r="G69" s="890"/>
      <c r="H69" s="890"/>
      <c r="I69" s="890"/>
      <c r="J69" s="890"/>
      <c r="K69" s="890"/>
      <c r="L69" s="890"/>
      <c r="M69" s="890"/>
      <c r="N69" s="890"/>
    </row>
    <row r="70" spans="1:19" ht="16.8" customHeight="1" x14ac:dyDescent="0.25">
      <c r="A70" s="890" t="s">
        <v>340</v>
      </c>
      <c r="B70" s="890"/>
      <c r="C70" s="890"/>
      <c r="D70" s="890"/>
      <c r="E70" s="890"/>
      <c r="F70" s="890"/>
      <c r="G70" s="890"/>
      <c r="H70" s="890"/>
      <c r="I70" s="890"/>
      <c r="J70" s="890"/>
      <c r="K70" s="890"/>
      <c r="L70" s="890"/>
      <c r="M70" s="890"/>
      <c r="N70" s="890"/>
    </row>
    <row r="71" spans="1:19" ht="23.4" customHeight="1" x14ac:dyDescent="0.25">
      <c r="A71" s="890" t="s">
        <v>341</v>
      </c>
      <c r="B71" s="890"/>
      <c r="C71" s="890"/>
      <c r="D71" s="890"/>
      <c r="E71" s="890"/>
      <c r="F71" s="890"/>
      <c r="G71" s="890"/>
      <c r="H71" s="890"/>
      <c r="I71" s="890"/>
      <c r="J71" s="890"/>
      <c r="K71" s="890"/>
      <c r="L71" s="890"/>
      <c r="M71" s="890"/>
      <c r="N71" s="890"/>
    </row>
    <row r="72" spans="1:19" ht="26.4" customHeight="1" x14ac:dyDescent="0.25">
      <c r="A72" s="895" t="s">
        <v>342</v>
      </c>
      <c r="B72" s="895"/>
      <c r="C72" s="895"/>
      <c r="D72" s="895"/>
      <c r="E72" s="895"/>
      <c r="F72" s="895"/>
      <c r="G72" s="895"/>
      <c r="H72" s="895"/>
      <c r="I72" s="895"/>
      <c r="J72" s="895"/>
      <c r="K72" s="895"/>
      <c r="L72" s="895"/>
      <c r="M72" s="895"/>
      <c r="N72" s="895"/>
    </row>
    <row r="73" spans="1:19" ht="9" customHeight="1" x14ac:dyDescent="0.25">
      <c r="A73" s="294"/>
      <c r="B73" s="294"/>
      <c r="C73" s="294"/>
      <c r="D73" s="294"/>
      <c r="E73" s="294"/>
      <c r="F73" s="294"/>
      <c r="G73" s="190"/>
      <c r="H73" s="190"/>
      <c r="I73" s="190"/>
      <c r="J73" s="190"/>
      <c r="K73" s="190"/>
      <c r="L73" s="190"/>
      <c r="M73" s="190"/>
      <c r="N73" s="190"/>
    </row>
    <row r="74" spans="1:19" ht="15.75" customHeight="1" x14ac:dyDescent="0.25">
      <c r="A74" s="303" t="s">
        <v>99</v>
      </c>
      <c r="B74" s="303"/>
      <c r="C74" s="303"/>
      <c r="D74" s="304"/>
      <c r="E74" s="304"/>
      <c r="F74" s="305"/>
      <c r="G74" s="305"/>
      <c r="H74" s="305"/>
      <c r="I74" s="305"/>
      <c r="J74" s="305"/>
      <c r="K74" s="305"/>
      <c r="L74" s="305"/>
      <c r="M74" s="305"/>
      <c r="N74" s="305"/>
    </row>
    <row r="75" spans="1:19" ht="29.4" customHeight="1" x14ac:dyDescent="0.25">
      <c r="A75" s="294"/>
      <c r="B75" s="294"/>
      <c r="C75" s="294"/>
    </row>
    <row r="76" spans="1:19" x14ac:dyDescent="0.25">
      <c r="A76" s="294"/>
      <c r="B76" s="294"/>
      <c r="C76" s="294"/>
      <c r="K76" s="891"/>
      <c r="L76" s="891"/>
      <c r="M76" s="891"/>
      <c r="N76" s="891"/>
    </row>
    <row r="77" spans="1:19" x14ac:dyDescent="0.25">
      <c r="A77" s="294"/>
      <c r="B77" s="294"/>
      <c r="C77" s="294"/>
      <c r="K77" s="295"/>
      <c r="L77" s="295"/>
      <c r="M77" s="295"/>
      <c r="N77" s="295"/>
    </row>
    <row r="78" spans="1:19" x14ac:dyDescent="0.25">
      <c r="A78" s="294"/>
      <c r="B78" s="294"/>
      <c r="C78" s="294"/>
      <c r="K78" s="295"/>
      <c r="L78" s="295"/>
      <c r="M78" s="295"/>
      <c r="N78" s="295"/>
    </row>
    <row r="79" spans="1:19" x14ac:dyDescent="0.25">
      <c r="A79" s="294"/>
      <c r="B79" s="294"/>
      <c r="C79" s="294"/>
      <c r="K79" s="295"/>
      <c r="L79" s="295"/>
      <c r="M79" s="295"/>
      <c r="N79" s="295"/>
    </row>
    <row r="80" spans="1:19" x14ac:dyDescent="0.25">
      <c r="A80" s="294"/>
      <c r="B80" s="294"/>
      <c r="C80" s="294"/>
      <c r="K80" s="295"/>
      <c r="L80" s="295"/>
      <c r="M80" s="295"/>
      <c r="N80" s="295"/>
    </row>
    <row r="81" spans="1:14" x14ac:dyDescent="0.25">
      <c r="A81" s="294"/>
      <c r="B81" s="294"/>
      <c r="C81" s="294"/>
      <c r="K81" s="295"/>
      <c r="L81" s="295"/>
      <c r="M81" s="295"/>
      <c r="N81" s="295"/>
    </row>
    <row r="82" spans="1:14" x14ac:dyDescent="0.25">
      <c r="A82" s="294"/>
      <c r="B82" s="294"/>
      <c r="C82" s="294"/>
      <c r="K82" s="295"/>
      <c r="L82" s="295"/>
      <c r="M82" s="295"/>
      <c r="N82" s="295"/>
    </row>
    <row r="83" spans="1:14" x14ac:dyDescent="0.25">
      <c r="A83" s="294"/>
      <c r="B83" s="294"/>
      <c r="C83" s="294"/>
      <c r="K83" s="295"/>
      <c r="L83" s="295"/>
      <c r="M83" s="295"/>
      <c r="N83" s="295"/>
    </row>
    <row r="84" spans="1:14" x14ac:dyDescent="0.25">
      <c r="A84" s="294"/>
      <c r="B84" s="294"/>
      <c r="C84" s="294"/>
      <c r="K84" s="295"/>
      <c r="L84" s="295"/>
      <c r="M84" s="295"/>
      <c r="N84" s="295"/>
    </row>
    <row r="85" spans="1:14" x14ac:dyDescent="0.25">
      <c r="A85" s="900"/>
      <c r="B85" s="900"/>
      <c r="C85" s="900"/>
      <c r="D85" s="900"/>
      <c r="E85" s="900"/>
      <c r="F85" s="900"/>
      <c r="G85" s="900"/>
      <c r="H85" s="900"/>
      <c r="I85" s="900"/>
      <c r="J85" s="900"/>
      <c r="K85" s="900"/>
      <c r="L85" s="900"/>
      <c r="M85" s="900"/>
      <c r="N85" s="900"/>
    </row>
    <row r="86" spans="1:14" x14ac:dyDescent="0.25">
      <c r="A86" s="92" t="s">
        <v>100</v>
      </c>
      <c r="B86" s="92"/>
      <c r="C86" s="92"/>
      <c r="D86" s="205"/>
      <c r="E86" s="205"/>
      <c r="F86" s="205"/>
      <c r="G86" s="205"/>
      <c r="H86" s="205"/>
      <c r="I86" s="205"/>
      <c r="J86" s="205"/>
      <c r="K86" s="891"/>
      <c r="L86" s="891"/>
      <c r="M86" s="891"/>
      <c r="N86" s="891"/>
    </row>
    <row r="87" spans="1:14" x14ac:dyDescent="0.25">
      <c r="A87" s="92" t="s">
        <v>343</v>
      </c>
      <c r="B87" s="92"/>
      <c r="C87" s="92"/>
      <c r="D87" s="205"/>
      <c r="E87" s="205"/>
      <c r="F87" s="205"/>
      <c r="G87" s="205"/>
      <c r="H87" s="205"/>
      <c r="I87" s="205"/>
      <c r="J87" s="205"/>
      <c r="K87" s="891" t="s">
        <v>221</v>
      </c>
      <c r="L87" s="891"/>
      <c r="M87" s="891"/>
      <c r="N87" s="891"/>
    </row>
    <row r="88" spans="1:14" x14ac:dyDescent="0.25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</row>
    <row r="89" spans="1:14" x14ac:dyDescent="0.25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</row>
    <row r="90" spans="1:14" ht="18.75" customHeight="1" x14ac:dyDescent="0.25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</row>
    <row r="91" spans="1:14" ht="18.75" customHeight="1" x14ac:dyDescent="0.25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</row>
  </sheetData>
  <sheetProtection algorithmName="SHA-512" hashValue="MMmApxx4QCjfIUMCAELTJx7sxUhlBJM2Gc5Uj9BR6DbwmAeFTkTobTGqx/CqFnJvyEH7aa5HPZ7ohycDciAMdw==" saltValue="7thx5URpZESZBUCDuSvx0g==" spinCount="100000" sheet="1" objects="1" scenarios="1"/>
  <protectedRanges>
    <protectedRange sqref="E7:F9 E12:F12" name="Rango3_3_1_1_1_1_1_1_1_1"/>
    <protectedRange sqref="E5:F6" name="Rango3_3_1_1_1_1_1_2_1_1"/>
  </protectedRanges>
  <mergeCells count="57">
    <mergeCell ref="J32:K32"/>
    <mergeCell ref="J34:K34"/>
    <mergeCell ref="J36:K36"/>
    <mergeCell ref="K52:N52"/>
    <mergeCell ref="K53:N53"/>
    <mergeCell ref="A21:E21"/>
    <mergeCell ref="L21:M21"/>
    <mergeCell ref="A22:E22"/>
    <mergeCell ref="L22:M22"/>
    <mergeCell ref="A23:E23"/>
    <mergeCell ref="AB8:AD8"/>
    <mergeCell ref="A10:N10"/>
    <mergeCell ref="A11:N11"/>
    <mergeCell ref="V20:X20"/>
    <mergeCell ref="Y20:Z20"/>
    <mergeCell ref="Y19:Z19"/>
    <mergeCell ref="V19:X19"/>
    <mergeCell ref="A2:N2"/>
    <mergeCell ref="A3:N3"/>
    <mergeCell ref="U19:U20"/>
    <mergeCell ref="L19:M19"/>
    <mergeCell ref="A20:E20"/>
    <mergeCell ref="G20:I20"/>
    <mergeCell ref="J20:K20"/>
    <mergeCell ref="L20:M20"/>
    <mergeCell ref="C6:J6"/>
    <mergeCell ref="C8:J8"/>
    <mergeCell ref="C7:K7"/>
    <mergeCell ref="C5:K5"/>
    <mergeCell ref="Y31:Z31"/>
    <mergeCell ref="A24:E24"/>
    <mergeCell ref="A25:E25"/>
    <mergeCell ref="A26:E26"/>
    <mergeCell ref="A27:E27"/>
    <mergeCell ref="A28:E28"/>
    <mergeCell ref="A29:E29"/>
    <mergeCell ref="X42:Y42"/>
    <mergeCell ref="K76:N76"/>
    <mergeCell ref="I64:J64"/>
    <mergeCell ref="I62:J62"/>
    <mergeCell ref="A72:N72"/>
    <mergeCell ref="I63:J63"/>
    <mergeCell ref="I65:J65"/>
    <mergeCell ref="A70:N70"/>
    <mergeCell ref="K65:N65"/>
    <mergeCell ref="K57:N57"/>
    <mergeCell ref="K55:N55"/>
    <mergeCell ref="K56:N56"/>
    <mergeCell ref="A68:N68"/>
    <mergeCell ref="A69:N69"/>
    <mergeCell ref="A71:N71"/>
    <mergeCell ref="K87:N87"/>
    <mergeCell ref="K54:N54"/>
    <mergeCell ref="I60:J60"/>
    <mergeCell ref="I61:J61"/>
    <mergeCell ref="K86:N86"/>
    <mergeCell ref="A85:N85"/>
  </mergeCells>
  <printOptions horizontalCentered="1"/>
  <pageMargins left="0" right="0" top="0.98425196850393704" bottom="0" header="0.11811023622047245" footer="0"/>
  <pageSetup paperSize="274" scale="91" orientation="portrait" r:id="rId1"/>
  <headerFooter scaleWithDoc="0">
    <oddHeader>&amp;C&amp;G</oddHeader>
  </headerFooter>
  <rowBreaks count="1" manualBreakCount="1">
    <brk id="46" max="1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"/>
  <sheetViews>
    <sheetView showGridLines="0" zoomScaleNormal="100" zoomScaleSheetLayoutView="100" workbookViewId="0">
      <selection activeCell="H6" sqref="H6"/>
    </sheetView>
  </sheetViews>
  <sheetFormatPr baseColWidth="10" defaultColWidth="10.33203125" defaultRowHeight="13.8" x14ac:dyDescent="0.25"/>
  <cols>
    <col min="1" max="1" width="8" style="190" customWidth="1"/>
    <col min="2" max="2" width="30.33203125" style="190" customWidth="1"/>
    <col min="3" max="12" width="10.88671875" style="190" customWidth="1"/>
    <col min="13" max="15" width="10.6640625" style="190" customWidth="1"/>
    <col min="16" max="16384" width="10.33203125" style="190"/>
  </cols>
  <sheetData>
    <row r="1" spans="1:12" ht="7.95" customHeight="1" x14ac:dyDescent="0.25"/>
    <row r="2" spans="1:12" ht="18" customHeight="1" x14ac:dyDescent="0.25">
      <c r="B2" s="922" t="s">
        <v>107</v>
      </c>
      <c r="C2" s="922"/>
      <c r="D2" s="922"/>
      <c r="E2" s="922"/>
      <c r="F2" s="922"/>
      <c r="G2" s="922"/>
      <c r="H2" s="922"/>
      <c r="I2" s="922"/>
      <c r="J2" s="922"/>
      <c r="K2" s="922"/>
      <c r="L2" s="922"/>
    </row>
    <row r="3" spans="1:12" ht="18" customHeight="1" x14ac:dyDescent="0.25">
      <c r="B3" s="922" t="s">
        <v>237</v>
      </c>
      <c r="C3" s="922"/>
      <c r="D3" s="922"/>
      <c r="E3" s="922"/>
      <c r="F3" s="922"/>
      <c r="G3" s="922"/>
      <c r="H3" s="922"/>
      <c r="I3" s="922"/>
      <c r="J3" s="922"/>
      <c r="K3" s="922"/>
      <c r="L3" s="922"/>
    </row>
    <row r="4" spans="1:12" ht="9" customHeight="1" x14ac:dyDescent="0.25">
      <c r="B4" s="311"/>
      <c r="C4" s="209"/>
      <c r="D4" s="312"/>
      <c r="E4" s="312"/>
      <c r="F4" s="209"/>
      <c r="G4" s="209"/>
      <c r="H4" s="209"/>
      <c r="I4" s="209"/>
      <c r="J4" s="209"/>
      <c r="K4" s="209"/>
      <c r="L4" s="209"/>
    </row>
    <row r="5" spans="1:12" ht="18" customHeight="1" x14ac:dyDescent="0.25">
      <c r="B5" s="313" t="s">
        <v>201</v>
      </c>
      <c r="C5" s="314"/>
      <c r="D5" s="315"/>
      <c r="E5" s="315"/>
      <c r="F5" s="315"/>
      <c r="G5" s="315"/>
      <c r="H5" s="630" t="s">
        <v>268</v>
      </c>
      <c r="I5" s="209"/>
      <c r="J5" s="209"/>
      <c r="K5" s="209"/>
      <c r="L5" s="209"/>
    </row>
    <row r="6" spans="1:12" ht="18" customHeight="1" x14ac:dyDescent="0.25">
      <c r="B6" s="316" t="s">
        <v>202</v>
      </c>
      <c r="C6" s="317"/>
      <c r="D6" s="92"/>
      <c r="E6" s="317"/>
      <c r="F6" s="317"/>
      <c r="G6" s="318"/>
      <c r="H6" s="652" t="s">
        <v>199</v>
      </c>
      <c r="I6" s="209">
        <f>+FORMATO!J11</f>
        <v>0</v>
      </c>
      <c r="J6" s="209"/>
      <c r="K6" s="209"/>
      <c r="L6" s="209"/>
    </row>
    <row r="7" spans="1:12" ht="18" customHeight="1" x14ac:dyDescent="0.25">
      <c r="B7" s="316" t="s">
        <v>200</v>
      </c>
      <c r="C7" s="317"/>
      <c r="D7" s="651">
        <f>+Balanza!B8</f>
        <v>3.7900000000000001E-6</v>
      </c>
      <c r="E7" s="317"/>
      <c r="F7" s="317"/>
      <c r="G7" s="318"/>
      <c r="H7" s="319"/>
      <c r="I7" s="209"/>
      <c r="J7" s="209"/>
      <c r="K7" s="209"/>
      <c r="L7" s="209"/>
    </row>
    <row r="8" spans="1:12" ht="18" customHeight="1" x14ac:dyDescent="0.25">
      <c r="B8" s="320" t="s">
        <v>49</v>
      </c>
      <c r="C8" s="92"/>
      <c r="D8" s="318" t="s">
        <v>114</v>
      </c>
      <c r="E8" s="321"/>
      <c r="F8" s="321"/>
      <c r="G8" s="92"/>
      <c r="H8" s="319"/>
      <c r="I8" s="209"/>
      <c r="J8" s="209"/>
      <c r="K8" s="209"/>
      <c r="L8" s="209"/>
    </row>
    <row r="9" spans="1:12" ht="18" customHeight="1" x14ac:dyDescent="0.25">
      <c r="B9" s="322" t="s">
        <v>50</v>
      </c>
      <c r="C9" s="323"/>
      <c r="D9" s="324">
        <f>+Balanza!C13</f>
        <v>46132</v>
      </c>
      <c r="E9" s="325"/>
      <c r="F9" s="325"/>
      <c r="G9" s="326"/>
      <c r="H9" s="327"/>
      <c r="I9" s="209"/>
      <c r="J9" s="209"/>
      <c r="K9" s="209"/>
      <c r="L9" s="209"/>
    </row>
    <row r="10" spans="1:12" ht="9" customHeight="1" x14ac:dyDescent="0.25">
      <c r="B10" s="260"/>
      <c r="D10" s="253"/>
      <c r="E10" s="253"/>
    </row>
    <row r="11" spans="1:12" ht="18.75" customHeight="1" x14ac:dyDescent="0.25">
      <c r="A11" s="255"/>
      <c r="B11" s="921" t="s">
        <v>198</v>
      </c>
      <c r="C11" s="808" t="s">
        <v>35</v>
      </c>
      <c r="D11" s="808"/>
      <c r="E11" s="808"/>
      <c r="F11" s="808"/>
      <c r="G11" s="808"/>
      <c r="H11" s="808"/>
      <c r="I11" s="808" t="s">
        <v>34</v>
      </c>
      <c r="J11" s="808"/>
      <c r="K11" s="808"/>
      <c r="L11" s="808"/>
    </row>
    <row r="12" spans="1:12" ht="18.75" customHeight="1" x14ac:dyDescent="0.25">
      <c r="A12" s="255"/>
      <c r="B12" s="921"/>
      <c r="C12" s="927" t="s">
        <v>199</v>
      </c>
      <c r="D12" s="927"/>
      <c r="E12" s="927"/>
      <c r="F12" s="927"/>
      <c r="G12" s="927"/>
      <c r="H12" s="927"/>
      <c r="I12" s="927" t="s">
        <v>199</v>
      </c>
      <c r="J12" s="927"/>
      <c r="K12" s="927"/>
      <c r="L12" s="927"/>
    </row>
    <row r="13" spans="1:12" ht="18.75" customHeight="1" x14ac:dyDescent="0.25">
      <c r="A13" s="255"/>
      <c r="B13" s="921"/>
      <c r="C13" s="250" t="s">
        <v>197</v>
      </c>
      <c r="D13" s="251" t="s">
        <v>196</v>
      </c>
      <c r="E13" s="250" t="s">
        <v>197</v>
      </c>
      <c r="F13" s="251" t="s">
        <v>196</v>
      </c>
      <c r="G13" s="250" t="s">
        <v>197</v>
      </c>
      <c r="H13" s="251" t="s">
        <v>196</v>
      </c>
      <c r="I13" s="250" t="s">
        <v>197</v>
      </c>
      <c r="J13" s="251" t="s">
        <v>196</v>
      </c>
      <c r="K13" s="250" t="s">
        <v>197</v>
      </c>
      <c r="L13" s="251" t="s">
        <v>196</v>
      </c>
    </row>
    <row r="14" spans="1:12" ht="18" customHeight="1" x14ac:dyDescent="0.25">
      <c r="A14" s="255"/>
      <c r="B14" s="252" t="s">
        <v>25</v>
      </c>
      <c r="C14" s="60">
        <v>1</v>
      </c>
      <c r="D14" s="60">
        <v>1</v>
      </c>
      <c r="E14" s="60">
        <v>2</v>
      </c>
      <c r="F14" s="60">
        <v>2</v>
      </c>
      <c r="G14" s="60">
        <v>3</v>
      </c>
      <c r="H14" s="60">
        <v>3</v>
      </c>
      <c r="I14" s="60">
        <v>1</v>
      </c>
      <c r="J14" s="256">
        <v>1</v>
      </c>
      <c r="K14" s="256">
        <v>2</v>
      </c>
      <c r="L14" s="256">
        <v>2</v>
      </c>
    </row>
    <row r="15" spans="1:12" ht="18" customHeight="1" x14ac:dyDescent="0.25">
      <c r="A15" s="255"/>
      <c r="B15" s="249" t="s">
        <v>27</v>
      </c>
      <c r="C15" s="308">
        <f>+FORMATO!G37</f>
        <v>0</v>
      </c>
      <c r="D15" s="233">
        <f>C15</f>
        <v>0</v>
      </c>
      <c r="E15" s="308">
        <f>+FORMATO!I37</f>
        <v>0</v>
      </c>
      <c r="F15" s="233">
        <f>E15</f>
        <v>0</v>
      </c>
      <c r="G15" s="308">
        <f>+FORMATO!J37</f>
        <v>0</v>
      </c>
      <c r="H15" s="233">
        <f>G15</f>
        <v>0</v>
      </c>
      <c r="I15" s="309">
        <f>+FORMATO!K37</f>
        <v>0</v>
      </c>
      <c r="J15" s="233">
        <f>I15</f>
        <v>0</v>
      </c>
      <c r="K15" s="309">
        <f>+FORMATO!L37</f>
        <v>0</v>
      </c>
      <c r="L15" s="233">
        <f>K15</f>
        <v>0</v>
      </c>
    </row>
    <row r="16" spans="1:12" ht="18" customHeight="1" x14ac:dyDescent="0.25">
      <c r="A16" s="254"/>
      <c r="B16" s="249" t="s">
        <v>26</v>
      </c>
      <c r="C16" s="308">
        <f>+FORMATO!G38</f>
        <v>0</v>
      </c>
      <c r="D16" s="233">
        <f>C16</f>
        <v>0</v>
      </c>
      <c r="E16" s="308">
        <f>+FORMATO!I38</f>
        <v>0</v>
      </c>
      <c r="F16" s="233">
        <f>E16</f>
        <v>0</v>
      </c>
      <c r="G16" s="308">
        <f>+FORMATO!J38</f>
        <v>0</v>
      </c>
      <c r="H16" s="233">
        <f>G16</f>
        <v>0</v>
      </c>
      <c r="I16" s="310" t="s">
        <v>199</v>
      </c>
      <c r="J16" s="233" t="s">
        <v>199</v>
      </c>
      <c r="K16" s="310" t="s">
        <v>199</v>
      </c>
      <c r="L16" s="233" t="s">
        <v>199</v>
      </c>
    </row>
    <row r="17" spans="1:19" ht="18" customHeight="1" x14ac:dyDescent="0.25">
      <c r="A17" s="254"/>
      <c r="B17" s="65" t="s">
        <v>209</v>
      </c>
      <c r="C17" s="308">
        <f>+FORMATO!G39</f>
        <v>0</v>
      </c>
      <c r="D17" s="83">
        <f>C17+($D$7*C17)</f>
        <v>0</v>
      </c>
      <c r="E17" s="308">
        <f>+FORMATO!I39</f>
        <v>0</v>
      </c>
      <c r="F17" s="83">
        <f>E17+($D$7*E17)</f>
        <v>0</v>
      </c>
      <c r="G17" s="308">
        <f>+FORMATO!J39</f>
        <v>0</v>
      </c>
      <c r="H17" s="83">
        <f>G17+($D$7*G17)</f>
        <v>0</v>
      </c>
      <c r="I17" s="663">
        <f>+FORMATO!K39</f>
        <v>0</v>
      </c>
      <c r="J17" s="83">
        <f>I17+($D$7*I17)</f>
        <v>0</v>
      </c>
      <c r="K17" s="663">
        <f>+FORMATO!L39</f>
        <v>0</v>
      </c>
      <c r="L17" s="83">
        <f>K17+($D$7*K17)</f>
        <v>0</v>
      </c>
    </row>
    <row r="18" spans="1:19" ht="18" customHeight="1" x14ac:dyDescent="0.25">
      <c r="A18" s="254"/>
      <c r="B18" s="65" t="s">
        <v>210</v>
      </c>
      <c r="C18" s="308">
        <f>+FORMATO!G40</f>
        <v>0</v>
      </c>
      <c r="D18" s="83">
        <f t="shared" ref="D18:D20" si="0">C18+($D$7*C18)</f>
        <v>0</v>
      </c>
      <c r="E18" s="308">
        <f>+FORMATO!I40</f>
        <v>0</v>
      </c>
      <c r="F18" s="83">
        <f t="shared" ref="F18:F20" si="1">E18+($D$7*E18)</f>
        <v>0</v>
      </c>
      <c r="G18" s="308">
        <f>+FORMATO!J40</f>
        <v>0</v>
      </c>
      <c r="H18" s="83">
        <f t="shared" ref="H18:H20" si="2">G18+($D$7*G18)</f>
        <v>0</v>
      </c>
      <c r="I18" s="663">
        <f>+FORMATO!K40</f>
        <v>0</v>
      </c>
      <c r="J18" s="83">
        <f t="shared" ref="J18:J20" si="3">I18+($D$7*I18)</f>
        <v>0</v>
      </c>
      <c r="K18" s="663">
        <f>+FORMATO!L40</f>
        <v>0</v>
      </c>
      <c r="L18" s="83">
        <f t="shared" ref="L18:L20" si="4">K18+($D$7*K18)</f>
        <v>0</v>
      </c>
    </row>
    <row r="19" spans="1:19" ht="18" customHeight="1" x14ac:dyDescent="0.25">
      <c r="A19" s="254"/>
      <c r="B19" s="65" t="s">
        <v>220</v>
      </c>
      <c r="C19" s="308">
        <f>+FORMATO!G41</f>
        <v>0</v>
      </c>
      <c r="D19" s="83">
        <f t="shared" si="0"/>
        <v>0</v>
      </c>
      <c r="E19" s="308">
        <f>+FORMATO!I41</f>
        <v>0</v>
      </c>
      <c r="F19" s="83">
        <f t="shared" si="1"/>
        <v>0</v>
      </c>
      <c r="G19" s="308">
        <f>+FORMATO!J41</f>
        <v>0</v>
      </c>
      <c r="H19" s="83">
        <f t="shared" si="2"/>
        <v>0</v>
      </c>
      <c r="I19" s="663">
        <f>+FORMATO!K41</f>
        <v>0</v>
      </c>
      <c r="J19" s="83">
        <f t="shared" si="3"/>
        <v>0</v>
      </c>
      <c r="K19" s="663">
        <f>+FORMATO!L41</f>
        <v>0</v>
      </c>
      <c r="L19" s="83">
        <f t="shared" si="4"/>
        <v>0</v>
      </c>
    </row>
    <row r="20" spans="1:19" ht="18" customHeight="1" x14ac:dyDescent="0.25">
      <c r="A20" s="254"/>
      <c r="B20" s="65" t="s">
        <v>72</v>
      </c>
      <c r="C20" s="308">
        <f>+FORMATO!G42</f>
        <v>0</v>
      </c>
      <c r="D20" s="83">
        <f t="shared" si="0"/>
        <v>0</v>
      </c>
      <c r="E20" s="308">
        <f>+FORMATO!I42</f>
        <v>0</v>
      </c>
      <c r="F20" s="83">
        <f t="shared" si="1"/>
        <v>0</v>
      </c>
      <c r="G20" s="308">
        <f>+FORMATO!J42</f>
        <v>0</v>
      </c>
      <c r="H20" s="83">
        <f t="shared" si="2"/>
        <v>0</v>
      </c>
      <c r="I20" s="663">
        <f>+FORMATO!K42</f>
        <v>0</v>
      </c>
      <c r="J20" s="83">
        <f t="shared" si="3"/>
        <v>0</v>
      </c>
      <c r="K20" s="663">
        <f>+FORMATO!L42</f>
        <v>0</v>
      </c>
      <c r="L20" s="83">
        <f t="shared" si="4"/>
        <v>0</v>
      </c>
    </row>
    <row r="21" spans="1:19" ht="18" customHeight="1" x14ac:dyDescent="0.25">
      <c r="A21" s="254"/>
      <c r="B21" s="65" t="s">
        <v>73</v>
      </c>
      <c r="C21" s="83">
        <f>+C17-C19</f>
        <v>0</v>
      </c>
      <c r="D21" s="83">
        <f>+D17-D19</f>
        <v>0</v>
      </c>
      <c r="E21" s="83">
        <f>+E17-E19</f>
        <v>0</v>
      </c>
      <c r="F21" s="83">
        <f t="shared" ref="F21:L21" si="5">+F17-F19</f>
        <v>0</v>
      </c>
      <c r="G21" s="83">
        <f>+G17-G19</f>
        <v>0</v>
      </c>
      <c r="H21" s="83">
        <f t="shared" si="5"/>
        <v>0</v>
      </c>
      <c r="I21" s="83">
        <f t="shared" ref="I21" si="6">+I17-I19</f>
        <v>0</v>
      </c>
      <c r="J21" s="83">
        <f t="shared" si="5"/>
        <v>0</v>
      </c>
      <c r="K21" s="83">
        <f t="shared" ref="K21" si="7">+K17-K19</f>
        <v>0</v>
      </c>
      <c r="L21" s="83">
        <f t="shared" si="5"/>
        <v>0</v>
      </c>
      <c r="N21" s="263"/>
      <c r="O21" s="263"/>
      <c r="P21" s="263"/>
    </row>
    <row r="22" spans="1:19" ht="18" customHeight="1" x14ac:dyDescent="0.25">
      <c r="A22" s="254"/>
      <c r="B22" s="65" t="s">
        <v>211</v>
      </c>
      <c r="C22" s="83">
        <f>C19-C20</f>
        <v>0</v>
      </c>
      <c r="D22" s="83">
        <f>D19-D20</f>
        <v>0</v>
      </c>
      <c r="E22" s="83">
        <f>E19-E20</f>
        <v>0</v>
      </c>
      <c r="F22" s="83">
        <f t="shared" ref="F22:L22" si="8">F19-F20</f>
        <v>0</v>
      </c>
      <c r="G22" s="83">
        <f>G19-G20</f>
        <v>0</v>
      </c>
      <c r="H22" s="83">
        <f t="shared" si="8"/>
        <v>0</v>
      </c>
      <c r="I22" s="83">
        <f t="shared" ref="I22" si="9">I19-I20</f>
        <v>0</v>
      </c>
      <c r="J22" s="83">
        <f t="shared" si="8"/>
        <v>0</v>
      </c>
      <c r="K22" s="83">
        <f t="shared" ref="K22" si="10">K19-K20</f>
        <v>0</v>
      </c>
      <c r="L22" s="83">
        <f t="shared" si="8"/>
        <v>0</v>
      </c>
      <c r="N22" s="264"/>
      <c r="O22" s="263"/>
      <c r="P22" s="263"/>
    </row>
    <row r="23" spans="1:19" ht="18" customHeight="1" x14ac:dyDescent="0.25">
      <c r="A23" s="254"/>
      <c r="B23" s="65" t="s">
        <v>33</v>
      </c>
      <c r="C23" s="247" t="e">
        <f t="shared" ref="C23:L23" si="11">+C21/C22*100</f>
        <v>#DIV/0!</v>
      </c>
      <c r="D23" s="83" t="e">
        <f t="shared" si="11"/>
        <v>#DIV/0!</v>
      </c>
      <c r="E23" s="247" t="e">
        <f t="shared" si="11"/>
        <v>#DIV/0!</v>
      </c>
      <c r="F23" s="83" t="e">
        <f t="shared" si="11"/>
        <v>#DIV/0!</v>
      </c>
      <c r="G23" s="247" t="e">
        <f t="shared" si="11"/>
        <v>#DIV/0!</v>
      </c>
      <c r="H23" s="266" t="e">
        <f t="shared" si="11"/>
        <v>#DIV/0!</v>
      </c>
      <c r="I23" s="265" t="e">
        <f t="shared" si="11"/>
        <v>#DIV/0!</v>
      </c>
      <c r="J23" s="265" t="e">
        <f t="shared" si="11"/>
        <v>#DIV/0!</v>
      </c>
      <c r="K23" s="265" t="e">
        <f t="shared" si="11"/>
        <v>#DIV/0!</v>
      </c>
      <c r="L23" s="265" t="e">
        <f t="shared" si="11"/>
        <v>#DIV/0!</v>
      </c>
      <c r="N23" s="264"/>
      <c r="O23" s="263"/>
      <c r="P23" s="263"/>
    </row>
    <row r="24" spans="1:19" ht="18" customHeight="1" x14ac:dyDescent="0.25">
      <c r="A24" s="254"/>
      <c r="B24" s="249" t="s">
        <v>203</v>
      </c>
      <c r="C24" s="83"/>
      <c r="D24" s="83"/>
      <c r="E24" s="83"/>
      <c r="F24" s="83"/>
      <c r="G24" s="83"/>
      <c r="H24" s="83"/>
      <c r="I24" s="923" t="e">
        <f>+AVERAGE(J23,L23)</f>
        <v>#DIV/0!</v>
      </c>
      <c r="J24" s="923"/>
      <c r="K24" s="923"/>
      <c r="L24" s="923"/>
      <c r="N24" s="264"/>
      <c r="O24" s="263"/>
      <c r="P24" s="263"/>
    </row>
    <row r="25" spans="1:19" ht="18" customHeight="1" x14ac:dyDescent="0.25">
      <c r="A25" s="254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</row>
    <row r="26" spans="1:19" ht="22.5" customHeight="1" x14ac:dyDescent="0.25">
      <c r="A26" s="254"/>
      <c r="B26" s="267" t="s">
        <v>208</v>
      </c>
      <c r="C26" s="654" t="e">
        <f>+IF(D26&lt;0.1,"Cumple","No cumple")</f>
        <v>#DIV/0!</v>
      </c>
      <c r="D26" s="247" t="e">
        <f>(D18-D19)/D19*100</f>
        <v>#DIV/0!</v>
      </c>
      <c r="E26" s="654" t="e">
        <f>+IF(F26&lt;0.1,"Cumple","No cumple")</f>
        <v>#DIV/0!</v>
      </c>
      <c r="F26" s="247" t="e">
        <f>(F18-F19)/F19*100</f>
        <v>#DIV/0!</v>
      </c>
      <c r="G26" s="654" t="e">
        <f>+IF(H26&lt;0.1,"Cumple","No cumple")</f>
        <v>#DIV/0!</v>
      </c>
      <c r="H26" s="247" t="e">
        <f>(H18-H19)/H19*100</f>
        <v>#DIV/0!</v>
      </c>
      <c r="I26" s="654" t="e">
        <f>+IF(J26&lt;0.1,"Cumple","No cumple")</f>
        <v>#DIV/0!</v>
      </c>
      <c r="J26" s="247" t="e">
        <f>(J18-J19)/J19*100</f>
        <v>#DIV/0!</v>
      </c>
      <c r="K26" s="654" t="e">
        <f>+IF(L26&lt;0.1,"Cumple","No cumple")</f>
        <v>#DIV/0!</v>
      </c>
      <c r="L26" s="247" t="e">
        <f>(L18-L19)/L19*100</f>
        <v>#DIV/0!</v>
      </c>
    </row>
    <row r="27" spans="1:19" ht="22.5" customHeight="1" x14ac:dyDescent="0.25">
      <c r="A27" s="254"/>
      <c r="B27" s="270" t="s">
        <v>212</v>
      </c>
      <c r="C27" s="271"/>
      <c r="D27" s="272"/>
      <c r="E27" s="273"/>
      <c r="F27" s="272"/>
      <c r="G27" s="273"/>
      <c r="H27" s="274"/>
      <c r="I27" s="654" t="str">
        <f>+IF(J27&gt;=6,"Cumple","No cumple")</f>
        <v>No cumple</v>
      </c>
      <c r="J27" s="83">
        <f>+J17-J20</f>
        <v>0</v>
      </c>
      <c r="K27" s="654" t="str">
        <f>+IF(L27&gt;=6,"Cumple","No cumple")</f>
        <v>No cumple</v>
      </c>
      <c r="L27" s="83">
        <f>+L17-L20</f>
        <v>0</v>
      </c>
    </row>
    <row r="28" spans="1:19" ht="9.75" customHeight="1" x14ac:dyDescent="0.25">
      <c r="A28" s="254"/>
      <c r="B28" s="29"/>
      <c r="C28" s="268"/>
      <c r="D28" s="269"/>
      <c r="E28" s="268"/>
      <c r="F28" s="269"/>
      <c r="G28" s="268"/>
      <c r="H28" s="269"/>
      <c r="I28" s="268"/>
      <c r="J28" s="269"/>
      <c r="K28" s="268"/>
      <c r="L28" s="269"/>
    </row>
    <row r="29" spans="1:19" ht="17.25" customHeight="1" x14ac:dyDescent="0.25">
      <c r="A29" s="254"/>
      <c r="B29" s="578" t="s">
        <v>259</v>
      </c>
      <c r="C29" s="442" t="s">
        <v>155</v>
      </c>
      <c r="D29" s="443" t="s">
        <v>54</v>
      </c>
      <c r="G29" s="209"/>
      <c r="H29" s="209"/>
      <c r="I29" s="918" t="s">
        <v>218</v>
      </c>
      <c r="J29" s="919"/>
      <c r="K29" s="919"/>
      <c r="L29" s="919"/>
      <c r="M29" s="920"/>
      <c r="O29" s="209"/>
      <c r="P29" s="209"/>
      <c r="R29" s="209"/>
      <c r="S29" s="209"/>
    </row>
    <row r="30" spans="1:19" ht="17.25" customHeight="1" x14ac:dyDescent="0.25">
      <c r="A30" s="254"/>
      <c r="B30" s="579" t="e">
        <f>+LN(C30)</f>
        <v>#NUM!</v>
      </c>
      <c r="C30" s="448">
        <f>+D16</f>
        <v>0</v>
      </c>
      <c r="D30" s="445" t="e">
        <f>+D23</f>
        <v>#DIV/0!</v>
      </c>
      <c r="G30" s="209"/>
      <c r="H30" s="209"/>
      <c r="I30" s="928" t="s">
        <v>213</v>
      </c>
      <c r="J30" s="929"/>
      <c r="K30" s="928" t="s">
        <v>214</v>
      </c>
      <c r="L30" s="929"/>
      <c r="M30" s="916" t="s">
        <v>215</v>
      </c>
      <c r="O30" s="209"/>
      <c r="P30" s="209"/>
      <c r="R30" s="209"/>
      <c r="S30" s="209"/>
    </row>
    <row r="31" spans="1:19" ht="17.25" customHeight="1" x14ac:dyDescent="0.25">
      <c r="A31" s="254"/>
      <c r="B31" s="579" t="e">
        <f t="shared" ref="B31:B32" si="12">+LN(C31)</f>
        <v>#NUM!</v>
      </c>
      <c r="C31" s="449">
        <f>+F16</f>
        <v>0</v>
      </c>
      <c r="D31" s="445" t="e">
        <f>+F23</f>
        <v>#DIV/0!</v>
      </c>
      <c r="G31" s="209"/>
      <c r="H31" s="209"/>
      <c r="I31" s="275" t="s">
        <v>216</v>
      </c>
      <c r="J31" s="275" t="s">
        <v>217</v>
      </c>
      <c r="K31" s="275" t="s">
        <v>216</v>
      </c>
      <c r="L31" s="275" t="s">
        <v>217</v>
      </c>
      <c r="M31" s="917"/>
      <c r="O31" s="209"/>
      <c r="P31" s="209"/>
      <c r="R31" s="209"/>
      <c r="S31" s="209"/>
    </row>
    <row r="32" spans="1:19" ht="17.25" customHeight="1" x14ac:dyDescent="0.25">
      <c r="A32" s="254"/>
      <c r="B32" s="579" t="e">
        <f t="shared" si="12"/>
        <v>#NUM!</v>
      </c>
      <c r="C32" s="450">
        <f>+H16</f>
        <v>0</v>
      </c>
      <c r="D32" s="446" t="e">
        <f>+H23</f>
        <v>#DIV/0!</v>
      </c>
      <c r="G32" s="209"/>
      <c r="H32" s="209"/>
      <c r="I32" s="276" t="e">
        <f>+STDEV(J23,L23)</f>
        <v>#DIV/0!</v>
      </c>
      <c r="J32" s="280" t="e">
        <f>ROUNDDOWN(I32*2.8,0)</f>
        <v>#DIV/0!</v>
      </c>
      <c r="K32" s="276">
        <v>0.5</v>
      </c>
      <c r="L32" s="280">
        <v>1</v>
      </c>
      <c r="M32" s="655" t="e">
        <f>IF(J32&lt;L32, "cumple", "no cumple")</f>
        <v>#DIV/0!</v>
      </c>
      <c r="O32" s="277"/>
      <c r="P32" s="277"/>
      <c r="Q32" s="278"/>
      <c r="R32" s="278"/>
      <c r="S32" s="279"/>
    </row>
    <row r="33" spans="1:19" ht="18" customHeight="1" x14ac:dyDescent="0.25">
      <c r="A33" s="254"/>
      <c r="C33" s="444" t="s">
        <v>154</v>
      </c>
      <c r="D33" s="447" t="e">
        <f>AVERAGE(D30:D32)</f>
        <v>#DIV/0!</v>
      </c>
      <c r="G33" s="209"/>
      <c r="H33" s="209"/>
      <c r="I33" s="209"/>
      <c r="J33" s="209"/>
      <c r="K33" s="209"/>
      <c r="L33" s="209"/>
      <c r="O33" s="277"/>
      <c r="P33" s="277"/>
      <c r="Q33" s="278"/>
      <c r="R33" s="278"/>
      <c r="S33" s="279"/>
    </row>
    <row r="34" spans="1:19" ht="6.6" customHeight="1" x14ac:dyDescent="0.25">
      <c r="A34" s="254"/>
      <c r="B34" s="237"/>
      <c r="C34" s="237"/>
      <c r="D34" s="284"/>
      <c r="G34" s="209"/>
      <c r="H34" s="209"/>
      <c r="I34" s="209"/>
      <c r="J34" s="209"/>
      <c r="K34" s="209"/>
      <c r="L34" s="209"/>
      <c r="M34" s="209"/>
      <c r="O34" s="277"/>
      <c r="P34" s="277"/>
      <c r="Q34" s="278"/>
      <c r="R34" s="278"/>
      <c r="S34" s="279"/>
    </row>
    <row r="35" spans="1:19" ht="18" customHeight="1" x14ac:dyDescent="0.25">
      <c r="A35" s="254"/>
      <c r="B35" s="239" t="s">
        <v>153</v>
      </c>
      <c r="C35" s="238" t="e">
        <f>SLOPE(D30:D32,B30:B32)</f>
        <v>#DIV/0!</v>
      </c>
      <c r="D35" s="283"/>
      <c r="E35" s="209"/>
      <c r="F35" s="209"/>
      <c r="G35" s="209"/>
      <c r="H35" s="209"/>
      <c r="I35" s="209"/>
      <c r="J35" s="209"/>
      <c r="K35" s="209"/>
      <c r="L35" s="209"/>
      <c r="M35" s="209"/>
      <c r="O35" s="277"/>
      <c r="P35" s="277"/>
      <c r="Q35" s="278"/>
      <c r="R35" s="278"/>
      <c r="S35" s="279"/>
    </row>
    <row r="36" spans="1:19" ht="18" customHeight="1" x14ac:dyDescent="0.25">
      <c r="A36" s="254"/>
      <c r="B36" s="239" t="s">
        <v>152</v>
      </c>
      <c r="C36" s="238" t="e">
        <f>INTERCEPT(D30:D32,B30:B32)</f>
        <v>#DIV/0!</v>
      </c>
      <c r="D36" s="283"/>
      <c r="E36" s="209"/>
      <c r="F36" s="209"/>
      <c r="G36" s="209"/>
      <c r="H36" s="209"/>
      <c r="I36" s="209"/>
      <c r="J36" s="209"/>
      <c r="K36" s="209"/>
      <c r="L36" s="209"/>
      <c r="M36" s="209"/>
      <c r="O36" s="277"/>
      <c r="P36" s="277"/>
      <c r="Q36" s="278"/>
      <c r="R36" s="278"/>
      <c r="S36" s="279"/>
    </row>
    <row r="37" spans="1:19" ht="5.4" customHeight="1" x14ac:dyDescent="0.25">
      <c r="A37" s="254"/>
      <c r="B37" s="283"/>
      <c r="C37" s="283"/>
      <c r="D37" s="283"/>
      <c r="G37" s="231"/>
    </row>
    <row r="38" spans="1:19" ht="18" customHeight="1" x14ac:dyDescent="0.25">
      <c r="A38" s="254"/>
      <c r="B38" s="241" t="s">
        <v>176</v>
      </c>
      <c r="C38" s="240"/>
      <c r="D38" s="580" t="e">
        <f>(C35*LN(25)+C36)</f>
        <v>#DIV/0!</v>
      </c>
      <c r="G38" s="231"/>
    </row>
    <row r="39" spans="1:19" ht="8.4" customHeight="1" x14ac:dyDescent="0.25">
      <c r="A39" s="254"/>
      <c r="G39" s="231"/>
    </row>
    <row r="40" spans="1:19" ht="15.9" customHeight="1" x14ac:dyDescent="0.25">
      <c r="A40" s="254"/>
      <c r="B40" s="451" t="s">
        <v>245</v>
      </c>
      <c r="C40" s="653" t="e">
        <f>RSQ(D30:D32,B30:B32)</f>
        <v>#DIV/0!</v>
      </c>
      <c r="D40" s="924" t="e">
        <f>IF(C40&lt;=0.95,"NO CONFORME","CONFORME")</f>
        <v>#DIV/0!</v>
      </c>
      <c r="E40" s="925"/>
      <c r="F40" s="926"/>
      <c r="G40" s="209"/>
      <c r="H40" s="257"/>
      <c r="I40" s="257"/>
      <c r="L40" s="209"/>
    </row>
    <row r="41" spans="1:19" ht="15.9" customHeight="1" x14ac:dyDescent="0.25">
      <c r="A41" s="254"/>
      <c r="B41" s="209"/>
      <c r="H41" s="257"/>
      <c r="I41" s="257"/>
      <c r="L41" s="209"/>
    </row>
    <row r="42" spans="1:19" ht="21" customHeight="1" x14ac:dyDescent="0.25">
      <c r="A42" s="254"/>
      <c r="D42" s="257"/>
      <c r="E42" s="257"/>
      <c r="F42" s="257"/>
      <c r="G42" s="257"/>
      <c r="H42" s="257"/>
      <c r="I42" s="257"/>
    </row>
    <row r="43" spans="1:19" ht="15.9" customHeight="1" x14ac:dyDescent="0.25">
      <c r="A43" s="254"/>
    </row>
    <row r="44" spans="1:19" ht="19.5" customHeight="1" x14ac:dyDescent="0.25">
      <c r="A44" s="254"/>
    </row>
    <row r="45" spans="1:19" ht="19.5" customHeight="1" x14ac:dyDescent="0.25">
      <c r="A45" s="254"/>
    </row>
    <row r="46" spans="1:19" ht="19.5" customHeight="1" x14ac:dyDescent="0.25">
      <c r="A46" s="254"/>
      <c r="B46" s="258"/>
      <c r="C46" s="258"/>
    </row>
    <row r="47" spans="1:19" ht="19.5" customHeight="1" x14ac:dyDescent="0.25">
      <c r="A47" s="254"/>
    </row>
    <row r="48" spans="1:19" ht="19.5" customHeight="1" x14ac:dyDescent="0.25">
      <c r="A48" s="254"/>
    </row>
    <row r="49" spans="1:1" ht="16.5" customHeight="1" x14ac:dyDescent="0.25">
      <c r="A49" s="254"/>
    </row>
    <row r="50" spans="1:1" ht="16.5" customHeight="1" x14ac:dyDescent="0.25">
      <c r="A50" s="254"/>
    </row>
    <row r="51" spans="1:1" x14ac:dyDescent="0.25">
      <c r="A51" s="254"/>
    </row>
    <row r="52" spans="1:1" ht="9.75" customHeight="1" x14ac:dyDescent="0.25">
      <c r="A52" s="254"/>
    </row>
    <row r="53" spans="1:1" ht="9.75" customHeight="1" x14ac:dyDescent="0.25">
      <c r="A53" s="254"/>
    </row>
    <row r="60" spans="1:1" ht="30.75" customHeight="1" x14ac:dyDescent="0.25"/>
    <row r="61" spans="1:1" ht="18.75" customHeight="1" x14ac:dyDescent="0.25"/>
    <row r="62" spans="1:1" ht="39" customHeight="1" x14ac:dyDescent="0.25"/>
    <row r="64" spans="1:1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</sheetData>
  <sheetProtection algorithmName="SHA-512" hashValue="QbK/P4ukgbZU85pj93hV0ftn6ZZr2hJ3Xae2c00zbnGLirnsM7iT5h3St32dri55u5WTm1SV+UiG1Ty1N6MUfA==" saltValue="z/psz9/vsbYUqIhFhYyGLg==" spinCount="100000" sheet="1" objects="1" scenarios="1"/>
  <mergeCells count="13">
    <mergeCell ref="D40:F40"/>
    <mergeCell ref="I11:L11"/>
    <mergeCell ref="C11:H11"/>
    <mergeCell ref="C12:H12"/>
    <mergeCell ref="I12:L12"/>
    <mergeCell ref="I30:J30"/>
    <mergeCell ref="K30:L30"/>
    <mergeCell ref="M30:M31"/>
    <mergeCell ref="I29:M29"/>
    <mergeCell ref="B11:B13"/>
    <mergeCell ref="B2:L2"/>
    <mergeCell ref="B3:L3"/>
    <mergeCell ref="I24:L24"/>
  </mergeCells>
  <dataValidations count="2">
    <dataValidation type="list" allowBlank="1" showInputMessage="1" showErrorMessage="1" sqref="C12 I12" xr:uid="{00000000-0002-0000-0200-000000000000}">
      <formula1>"-, SI, NO"</formula1>
    </dataValidation>
    <dataValidation type="list" allowBlank="1" showInputMessage="1" showErrorMessage="1" sqref="H6" xr:uid="{821E9F37-4C0B-4AC8-AD82-EF5C65D07F7D}">
      <formula1>"-, DEYVI,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4"/>
  <sheetViews>
    <sheetView topLeftCell="A61" zoomScale="80" zoomScaleNormal="80" workbookViewId="0">
      <selection activeCell="H102" sqref="H102"/>
    </sheetView>
  </sheetViews>
  <sheetFormatPr baseColWidth="10" defaultColWidth="11.44140625" defaultRowHeight="13.2" x14ac:dyDescent="0.25"/>
  <cols>
    <col min="1" max="1" width="27" style="347" customWidth="1"/>
    <col min="2" max="3" width="14.109375" style="347" customWidth="1"/>
    <col min="4" max="4" width="17.109375" style="347" customWidth="1"/>
    <col min="5" max="7" width="14.109375" style="347" customWidth="1"/>
    <col min="8" max="8" width="27.88671875" style="347" customWidth="1"/>
    <col min="9" max="9" width="14.109375" style="347" customWidth="1"/>
    <col min="10" max="10" width="17.6640625" style="347" customWidth="1"/>
    <col min="11" max="11" width="16.109375" style="347" customWidth="1"/>
    <col min="12" max="13" width="14.109375" style="347" customWidth="1"/>
    <col min="14" max="14" width="11.44140625" style="347"/>
    <col min="15" max="15" width="26.44140625" style="347" customWidth="1"/>
    <col min="16" max="17" width="11.44140625" style="347"/>
    <col min="18" max="18" width="17.109375" style="347" customWidth="1"/>
    <col min="19" max="16384" width="11.44140625" style="347"/>
  </cols>
  <sheetData>
    <row r="1" spans="1:10" ht="12.75" customHeight="1" x14ac:dyDescent="0.25">
      <c r="A1" s="930"/>
      <c r="B1" s="944" t="s">
        <v>131</v>
      </c>
      <c r="C1" s="945"/>
      <c r="D1" s="945"/>
      <c r="E1" s="945"/>
      <c r="F1" s="945"/>
      <c r="G1" s="945"/>
      <c r="H1" s="946"/>
      <c r="I1" s="354" t="s">
        <v>130</v>
      </c>
      <c r="J1" s="354" t="s">
        <v>129</v>
      </c>
    </row>
    <row r="2" spans="1:10" ht="12.75" customHeight="1" x14ac:dyDescent="0.25">
      <c r="A2" s="931"/>
      <c r="B2" s="947"/>
      <c r="C2" s="948"/>
      <c r="D2" s="948"/>
      <c r="E2" s="948"/>
      <c r="F2" s="948"/>
      <c r="G2" s="948"/>
      <c r="H2" s="949"/>
      <c r="I2" s="354" t="s">
        <v>128</v>
      </c>
      <c r="J2" s="355">
        <v>3</v>
      </c>
    </row>
    <row r="3" spans="1:10" ht="12.75" customHeight="1" x14ac:dyDescent="0.25">
      <c r="A3" s="931"/>
      <c r="B3" s="947"/>
      <c r="C3" s="948"/>
      <c r="D3" s="948"/>
      <c r="E3" s="948"/>
      <c r="F3" s="948"/>
      <c r="G3" s="948"/>
      <c r="H3" s="949"/>
      <c r="I3" s="354" t="s">
        <v>127</v>
      </c>
      <c r="J3" s="776">
        <v>46146</v>
      </c>
    </row>
    <row r="4" spans="1:10" ht="12.75" customHeight="1" x14ac:dyDescent="0.25">
      <c r="A4" s="932"/>
      <c r="B4" s="950"/>
      <c r="C4" s="951"/>
      <c r="D4" s="951"/>
      <c r="E4" s="951"/>
      <c r="F4" s="951"/>
      <c r="G4" s="951"/>
      <c r="H4" s="952"/>
      <c r="I4" s="354" t="s">
        <v>126</v>
      </c>
      <c r="J4" s="354" t="s">
        <v>125</v>
      </c>
    </row>
    <row r="6" spans="1:10" ht="21" customHeight="1" x14ac:dyDescent="0.25">
      <c r="A6" s="356" t="s">
        <v>124</v>
      </c>
      <c r="B6" s="177" t="s">
        <v>107</v>
      </c>
      <c r="C6" s="626"/>
      <c r="D6" s="626"/>
      <c r="E6" s="626"/>
      <c r="F6" s="627"/>
      <c r="G6" s="627"/>
      <c r="H6" s="627"/>
      <c r="I6" s="627"/>
      <c r="J6" s="628"/>
    </row>
    <row r="7" spans="1:10" ht="21" customHeight="1" x14ac:dyDescent="0.25">
      <c r="A7" s="356" t="s">
        <v>123</v>
      </c>
      <c r="B7" s="177" t="s">
        <v>265</v>
      </c>
      <c r="C7" s="626"/>
      <c r="D7" s="626"/>
      <c r="E7" s="626"/>
      <c r="F7" s="627"/>
      <c r="G7" s="627"/>
      <c r="H7" s="627"/>
      <c r="I7" s="627"/>
      <c r="J7" s="628"/>
    </row>
    <row r="8" spans="1:10" ht="21" customHeight="1" x14ac:dyDescent="0.25">
      <c r="A8" s="356" t="s">
        <v>122</v>
      </c>
      <c r="B8" s="177" t="s">
        <v>151</v>
      </c>
      <c r="C8" s="626"/>
      <c r="D8" s="626"/>
      <c r="E8" s="626"/>
      <c r="F8" s="627"/>
      <c r="G8" s="627"/>
      <c r="H8" s="627"/>
      <c r="I8" s="627"/>
      <c r="J8" s="628"/>
    </row>
    <row r="9" spans="1:10" ht="20.25" customHeight="1" x14ac:dyDescent="0.25">
      <c r="A9" s="357" t="s">
        <v>329</v>
      </c>
      <c r="B9" s="941" t="s">
        <v>266</v>
      </c>
      <c r="C9" s="942"/>
      <c r="D9" s="942"/>
      <c r="E9" s="942"/>
      <c r="F9" s="942"/>
      <c r="G9" s="942"/>
      <c r="H9" s="942"/>
      <c r="I9" s="942"/>
      <c r="J9" s="943"/>
    </row>
    <row r="11" spans="1:10" ht="12" customHeight="1" x14ac:dyDescent="0.25"/>
    <row r="12" spans="1:10" ht="12" customHeight="1" x14ac:dyDescent="0.25">
      <c r="A12" s="600" t="s">
        <v>330</v>
      </c>
    </row>
    <row r="13" spans="1:10" ht="12" customHeight="1" x14ac:dyDescent="0.25">
      <c r="A13" s="600"/>
    </row>
    <row r="14" spans="1:10" ht="12" customHeight="1" x14ac:dyDescent="0.25">
      <c r="A14" s="601" t="s">
        <v>248</v>
      </c>
      <c r="D14" s="601" t="s">
        <v>252</v>
      </c>
    </row>
    <row r="15" spans="1:10" ht="12" customHeight="1" x14ac:dyDescent="0.25"/>
    <row r="16" spans="1:10" ht="15" customHeight="1" x14ac:dyDescent="0.25">
      <c r="A16" s="602" t="s">
        <v>249</v>
      </c>
    </row>
    <row r="17" spans="1:7" ht="12" customHeight="1" x14ac:dyDescent="0.25">
      <c r="A17" s="602" t="s">
        <v>250</v>
      </c>
      <c r="G17" s="599"/>
    </row>
    <row r="18" spans="1:7" ht="12" customHeight="1" x14ac:dyDescent="0.25">
      <c r="A18" s="602" t="s">
        <v>251</v>
      </c>
      <c r="G18" s="599"/>
    </row>
    <row r="19" spans="1:7" ht="12" customHeight="1" x14ac:dyDescent="0.25">
      <c r="G19" s="599"/>
    </row>
    <row r="20" spans="1:7" ht="12" customHeight="1" x14ac:dyDescent="0.25">
      <c r="A20" s="601" t="s">
        <v>253</v>
      </c>
      <c r="G20" s="599"/>
    </row>
    <row r="21" spans="1:7" ht="12" customHeight="1" x14ac:dyDescent="0.25"/>
    <row r="22" spans="1:7" ht="12.75" customHeight="1" x14ac:dyDescent="0.25">
      <c r="A22" s="602" t="s">
        <v>255</v>
      </c>
      <c r="E22" s="603"/>
      <c r="G22" s="599"/>
    </row>
    <row r="23" spans="1:7" ht="13.5" customHeight="1" x14ac:dyDescent="0.25"/>
    <row r="24" spans="1:7" ht="12" customHeight="1" x14ac:dyDescent="0.25">
      <c r="A24" s="600" t="s">
        <v>254</v>
      </c>
    </row>
    <row r="25" spans="1:7" ht="12" customHeight="1" x14ac:dyDescent="0.25"/>
    <row r="26" spans="1:7" ht="12" customHeight="1" x14ac:dyDescent="0.25">
      <c r="B26" s="603"/>
    </row>
    <row r="27" spans="1:7" ht="12" customHeight="1" x14ac:dyDescent="0.25"/>
    <row r="29" spans="1:7" ht="18.75" customHeight="1" x14ac:dyDescent="0.25"/>
    <row r="30" spans="1:7" ht="25.5" customHeight="1" x14ac:dyDescent="0.25">
      <c r="F30" s="513"/>
    </row>
    <row r="31" spans="1:7" ht="25.5" customHeight="1" x14ac:dyDescent="0.25"/>
    <row r="32" spans="1:7" ht="25.5" customHeight="1" x14ac:dyDescent="0.25">
      <c r="E32" s="603"/>
    </row>
    <row r="33" spans="1:28" ht="25.5" customHeight="1" x14ac:dyDescent="0.25"/>
    <row r="34" spans="1:28" ht="25.5" customHeight="1" x14ac:dyDescent="0.25">
      <c r="I34" s="513"/>
    </row>
    <row r="35" spans="1:28" ht="25.5" customHeight="1" x14ac:dyDescent="0.25"/>
    <row r="36" spans="1:28" ht="19.5" customHeight="1" thickBot="1" x14ac:dyDescent="0.3">
      <c r="A36" s="425" t="s">
        <v>207</v>
      </c>
      <c r="B36" s="415" t="s">
        <v>137</v>
      </c>
      <c r="C36" s="415"/>
      <c r="D36" s="415"/>
      <c r="E36" s="415"/>
      <c r="F36" s="415"/>
      <c r="G36" s="415"/>
      <c r="H36" s="415" t="s">
        <v>136</v>
      </c>
      <c r="J36" s="361"/>
      <c r="K36" s="361"/>
      <c r="L36" s="361"/>
      <c r="M36" s="361"/>
      <c r="N36" s="361"/>
      <c r="O36" s="415" t="s">
        <v>260</v>
      </c>
      <c r="Q36" s="361"/>
      <c r="R36" s="361"/>
      <c r="S36" s="361"/>
      <c r="T36" s="361"/>
      <c r="U36" s="361"/>
      <c r="V36" s="476"/>
      <c r="W36" s="476"/>
      <c r="X36" s="476"/>
      <c r="Y36" s="476"/>
      <c r="Z36" s="358"/>
      <c r="AA36" s="358"/>
      <c r="AB36" s="358"/>
    </row>
    <row r="37" spans="1:28" ht="48" customHeight="1" thickBot="1" x14ac:dyDescent="0.3">
      <c r="A37" s="386" t="s">
        <v>121</v>
      </c>
      <c r="B37" s="389" t="s">
        <v>120</v>
      </c>
      <c r="C37" s="388" t="s">
        <v>167</v>
      </c>
      <c r="D37" s="388" t="s">
        <v>168</v>
      </c>
      <c r="E37" s="389" t="s">
        <v>241</v>
      </c>
      <c r="F37" s="389" t="s">
        <v>119</v>
      </c>
      <c r="G37" s="400" t="s">
        <v>242</v>
      </c>
      <c r="H37" s="386" t="s">
        <v>121</v>
      </c>
      <c r="I37" s="387" t="s">
        <v>120</v>
      </c>
      <c r="J37" s="388" t="s">
        <v>167</v>
      </c>
      <c r="K37" s="388" t="s">
        <v>168</v>
      </c>
      <c r="L37" s="389" t="s">
        <v>241</v>
      </c>
      <c r="M37" s="389" t="s">
        <v>119</v>
      </c>
      <c r="N37" s="390" t="s">
        <v>242</v>
      </c>
      <c r="O37" s="386" t="s">
        <v>121</v>
      </c>
      <c r="P37" s="387" t="s">
        <v>120</v>
      </c>
      <c r="Q37" s="388" t="s">
        <v>167</v>
      </c>
      <c r="R37" s="388" t="s">
        <v>168</v>
      </c>
      <c r="S37" s="389" t="s">
        <v>241</v>
      </c>
      <c r="T37" s="389" t="s">
        <v>119</v>
      </c>
      <c r="U37" s="390" t="s">
        <v>242</v>
      </c>
      <c r="V37" s="477"/>
      <c r="W37" s="477"/>
      <c r="X37" s="477"/>
      <c r="Y37" s="477"/>
      <c r="Z37" s="358"/>
      <c r="AA37" s="358"/>
      <c r="AB37" s="358"/>
    </row>
    <row r="38" spans="1:28" ht="30" customHeight="1" x14ac:dyDescent="0.25">
      <c r="A38" s="376" t="s">
        <v>244</v>
      </c>
      <c r="B38" s="452" t="e">
        <f>+((B39-B43)/(B43-B47)*100)</f>
        <v>#DIV/0!</v>
      </c>
      <c r="C38" s="604"/>
      <c r="D38" s="378" t="s">
        <v>112</v>
      </c>
      <c r="E38" s="379"/>
      <c r="F38" s="379"/>
      <c r="G38" s="401"/>
      <c r="H38" s="376" t="s">
        <v>244</v>
      </c>
      <c r="I38" s="452" t="e">
        <f>+((I39-I43)/(I43-I47)*100)</f>
        <v>#DIV/0!</v>
      </c>
      <c r="J38" s="604"/>
      <c r="K38" s="378" t="s">
        <v>112</v>
      </c>
      <c r="L38" s="379"/>
      <c r="M38" s="379"/>
      <c r="N38" s="380"/>
      <c r="O38" s="376" t="s">
        <v>244</v>
      </c>
      <c r="P38" s="452" t="e">
        <f>+((P39-P43)/(P43-P47)*100)</f>
        <v>#DIV/0!</v>
      </c>
      <c r="Q38" s="604"/>
      <c r="R38" s="378" t="s">
        <v>112</v>
      </c>
      <c r="S38" s="379"/>
      <c r="T38" s="379"/>
      <c r="U38" s="380"/>
      <c r="V38" s="480"/>
      <c r="W38" s="481"/>
      <c r="X38" s="482"/>
      <c r="Y38" s="483"/>
      <c r="Z38" s="358"/>
      <c r="AA38" s="358"/>
      <c r="AB38" s="358"/>
    </row>
    <row r="39" spans="1:28" s="606" customFormat="1" ht="24" customHeight="1" x14ac:dyDescent="0.25">
      <c r="A39" s="391" t="s">
        <v>139</v>
      </c>
      <c r="B39" s="392">
        <f>Balanza!B26</f>
        <v>0</v>
      </c>
      <c r="C39" s="605"/>
      <c r="D39" s="393" t="s">
        <v>112</v>
      </c>
      <c r="E39" s="394" t="e">
        <f>SQRT((E40*E40)+(E41*E41)+(E42*E42))</f>
        <v>#VALUE!</v>
      </c>
      <c r="F39" s="394" t="e">
        <f>100/(B43-B47)</f>
        <v>#DIV/0!</v>
      </c>
      <c r="G39" s="402" t="e">
        <f>+E39*F39</f>
        <v>#VALUE!</v>
      </c>
      <c r="H39" s="391" t="s">
        <v>139</v>
      </c>
      <c r="I39" s="395">
        <f>+Balanza!D26</f>
        <v>0</v>
      </c>
      <c r="J39" s="605"/>
      <c r="K39" s="393" t="s">
        <v>112</v>
      </c>
      <c r="L39" s="394" t="e">
        <f>SQRT((L40*L40)+(L41*L41)+(L42*L42))</f>
        <v>#VALUE!</v>
      </c>
      <c r="M39" s="394" t="e">
        <f>100/(I43-I47)</f>
        <v>#DIV/0!</v>
      </c>
      <c r="N39" s="396" t="e">
        <f>(L39*L39)*(M39*M39)</f>
        <v>#VALUE!</v>
      </c>
      <c r="O39" s="391" t="s">
        <v>139</v>
      </c>
      <c r="P39" s="395">
        <f>Balanza!F26</f>
        <v>0</v>
      </c>
      <c r="Q39" s="605"/>
      <c r="R39" s="393" t="s">
        <v>112</v>
      </c>
      <c r="S39" s="394" t="e">
        <f>SQRT((S40*S40)+(S41*S41)+(S42*S42))</f>
        <v>#VALUE!</v>
      </c>
      <c r="T39" s="394" t="e">
        <f>100/(P43-P47)</f>
        <v>#DIV/0!</v>
      </c>
      <c r="U39" s="396" t="e">
        <f>(S39*S39)*(T39*T39)</f>
        <v>#VALUE!</v>
      </c>
      <c r="V39" s="484"/>
      <c r="W39" s="485"/>
      <c r="X39" s="486"/>
      <c r="Y39" s="486"/>
      <c r="Z39" s="358"/>
      <c r="AA39" s="358"/>
      <c r="AB39" s="358"/>
    </row>
    <row r="40" spans="1:28" s="606" customFormat="1" ht="24" customHeight="1" x14ac:dyDescent="0.25">
      <c r="A40" s="426" t="s">
        <v>118</v>
      </c>
      <c r="B40" s="607"/>
      <c r="C40" s="365">
        <f>Balanza!C26</f>
        <v>0</v>
      </c>
      <c r="D40" s="366" t="s">
        <v>169</v>
      </c>
      <c r="E40" s="368">
        <f>C40</f>
        <v>0</v>
      </c>
      <c r="F40" s="368" t="s">
        <v>112</v>
      </c>
      <c r="G40" s="438" t="s">
        <v>112</v>
      </c>
      <c r="H40" s="426" t="s">
        <v>118</v>
      </c>
      <c r="I40" s="607"/>
      <c r="J40" s="365">
        <f>Balanza!E26</f>
        <v>0</v>
      </c>
      <c r="K40" s="366" t="s">
        <v>169</v>
      </c>
      <c r="L40" s="368">
        <f>J40</f>
        <v>0</v>
      </c>
      <c r="M40" s="368" t="s">
        <v>112</v>
      </c>
      <c r="N40" s="370" t="s">
        <v>112</v>
      </c>
      <c r="O40" s="426" t="s">
        <v>118</v>
      </c>
      <c r="P40" s="607"/>
      <c r="Q40" s="365">
        <f>Balanza!G26</f>
        <v>0</v>
      </c>
      <c r="R40" s="366" t="s">
        <v>169</v>
      </c>
      <c r="S40" s="368">
        <f>Q40</f>
        <v>0</v>
      </c>
      <c r="T40" s="368" t="s">
        <v>112</v>
      </c>
      <c r="U40" s="370" t="s">
        <v>112</v>
      </c>
      <c r="V40" s="480"/>
      <c r="W40" s="481"/>
      <c r="X40" s="489"/>
      <c r="Y40" s="483"/>
      <c r="Z40" s="358"/>
      <c r="AA40" s="358"/>
      <c r="AB40" s="358"/>
    </row>
    <row r="41" spans="1:28" s="606" customFormat="1" ht="24" customHeight="1" x14ac:dyDescent="0.25">
      <c r="A41" s="427" t="s">
        <v>116</v>
      </c>
      <c r="B41" s="607"/>
      <c r="C41" s="371">
        <f>2*(SQRT(Balanza!$B$9+Balanza!$C$9*(POWER(B39,2))))</f>
        <v>1.3311649033834989E-2</v>
      </c>
      <c r="D41" s="372" t="s">
        <v>239</v>
      </c>
      <c r="E41" s="368">
        <f>C41/2</f>
        <v>6.6558245169174943E-3</v>
      </c>
      <c r="F41" s="368" t="s">
        <v>112</v>
      </c>
      <c r="G41" s="438" t="s">
        <v>112</v>
      </c>
      <c r="H41" s="427" t="s">
        <v>116</v>
      </c>
      <c r="I41" s="607"/>
      <c r="J41" s="371">
        <f>2*(SQRT(Balanza!$B$9+Balanza!$C$9*(POWER(I39,2))))</f>
        <v>1.3311649033834989E-2</v>
      </c>
      <c r="K41" s="372" t="s">
        <v>239</v>
      </c>
      <c r="L41" s="368">
        <f>J41/2</f>
        <v>6.6558245169174943E-3</v>
      </c>
      <c r="M41" s="368" t="s">
        <v>112</v>
      </c>
      <c r="N41" s="370" t="s">
        <v>112</v>
      </c>
      <c r="O41" s="427" t="s">
        <v>116</v>
      </c>
      <c r="P41" s="607"/>
      <c r="Q41" s="371">
        <f>2*(SQRT(Balanza!$B$9+Balanza!$C$9*(POWER(P39,2))))</f>
        <v>1.3311649033834989E-2</v>
      </c>
      <c r="R41" s="372" t="s">
        <v>239</v>
      </c>
      <c r="S41" s="368">
        <f>Q41/2</f>
        <v>6.6558245169174943E-3</v>
      </c>
      <c r="T41" s="368" t="s">
        <v>112</v>
      </c>
      <c r="U41" s="370" t="s">
        <v>112</v>
      </c>
      <c r="V41" s="484"/>
      <c r="W41" s="490"/>
      <c r="X41" s="489"/>
      <c r="Y41" s="491"/>
      <c r="Z41" s="358"/>
      <c r="AA41" s="358"/>
      <c r="AB41" s="358"/>
    </row>
    <row r="42" spans="1:28" s="606" customFormat="1" ht="24" customHeight="1" x14ac:dyDescent="0.25">
      <c r="A42" s="428" t="s">
        <v>117</v>
      </c>
      <c r="B42" s="607"/>
      <c r="C42" s="374" t="str">
        <f>Balanza!$B$11</f>
        <v>0.01</v>
      </c>
      <c r="D42" s="375" t="s">
        <v>240</v>
      </c>
      <c r="E42" s="368" t="e">
        <f>C42/SQRT(3)/2</f>
        <v>#VALUE!</v>
      </c>
      <c r="F42" s="368" t="s">
        <v>112</v>
      </c>
      <c r="G42" s="438" t="s">
        <v>112</v>
      </c>
      <c r="H42" s="428" t="s">
        <v>117</v>
      </c>
      <c r="I42" s="607"/>
      <c r="J42" s="374" t="str">
        <f>Balanza!$B$11</f>
        <v>0.01</v>
      </c>
      <c r="K42" s="375" t="s">
        <v>240</v>
      </c>
      <c r="L42" s="368" t="e">
        <f>J42/SQRT(3)/2</f>
        <v>#VALUE!</v>
      </c>
      <c r="M42" s="368" t="s">
        <v>112</v>
      </c>
      <c r="N42" s="370" t="s">
        <v>112</v>
      </c>
      <c r="O42" s="428" t="s">
        <v>117</v>
      </c>
      <c r="P42" s="607"/>
      <c r="Q42" s="374" t="str">
        <f>Balanza!$B$11</f>
        <v>0.01</v>
      </c>
      <c r="R42" s="375" t="s">
        <v>240</v>
      </c>
      <c r="S42" s="368" t="e">
        <f>Q42/SQRT(3)/2</f>
        <v>#VALUE!</v>
      </c>
      <c r="T42" s="368" t="s">
        <v>112</v>
      </c>
      <c r="U42" s="370" t="s">
        <v>112</v>
      </c>
      <c r="V42" s="484"/>
      <c r="W42" s="481"/>
      <c r="X42" s="489"/>
      <c r="Y42" s="483"/>
      <c r="Z42" s="358"/>
      <c r="AA42" s="358"/>
      <c r="AB42" s="358"/>
    </row>
    <row r="43" spans="1:28" s="606" customFormat="1" ht="24" customHeight="1" x14ac:dyDescent="0.25">
      <c r="A43" s="391" t="s">
        <v>140</v>
      </c>
      <c r="B43" s="392">
        <f>Balanza!B27</f>
        <v>0</v>
      </c>
      <c r="C43" s="605"/>
      <c r="D43" s="397" t="s">
        <v>112</v>
      </c>
      <c r="E43" s="398" t="e">
        <f>SQRT((E44*E44)+(E45*E45)+(E46*E46))</f>
        <v>#VALUE!</v>
      </c>
      <c r="F43" s="394" t="e">
        <f>((B39-B47)*100)/(POWER((B43-B47),2))</f>
        <v>#DIV/0!</v>
      </c>
      <c r="G43" s="402" t="e">
        <f>+E43*F43</f>
        <v>#VALUE!</v>
      </c>
      <c r="H43" s="391" t="s">
        <v>140</v>
      </c>
      <c r="I43" s="395">
        <f>+Balanza!D27</f>
        <v>0</v>
      </c>
      <c r="J43" s="605"/>
      <c r="K43" s="397" t="s">
        <v>112</v>
      </c>
      <c r="L43" s="394" t="e">
        <f>SQRT((L44*L44)+(L45*L45)+(L46*L46))</f>
        <v>#VALUE!</v>
      </c>
      <c r="M43" s="394" t="e">
        <f>((I39-I47)*100)/(POWER((I43-I47),2))</f>
        <v>#DIV/0!</v>
      </c>
      <c r="N43" s="396" t="e">
        <f>(L43*L43)*(M43*M43)</f>
        <v>#VALUE!</v>
      </c>
      <c r="O43" s="391" t="s">
        <v>140</v>
      </c>
      <c r="P43" s="395">
        <f>Balanza!F27</f>
        <v>0</v>
      </c>
      <c r="Q43" s="605"/>
      <c r="R43" s="397" t="s">
        <v>112</v>
      </c>
      <c r="S43" s="394" t="e">
        <f>SQRT((S44*S44)+(S45*S45)+(S46*S46))</f>
        <v>#VALUE!</v>
      </c>
      <c r="T43" s="394" t="e">
        <f>((P39-P47)*100)/(POWER((P43-P47),2))</f>
        <v>#DIV/0!</v>
      </c>
      <c r="U43" s="396" t="e">
        <f>(S43*S43)*(T43*T43)</f>
        <v>#VALUE!</v>
      </c>
      <c r="V43" s="484"/>
      <c r="W43" s="493"/>
      <c r="X43" s="489"/>
      <c r="Y43" s="608"/>
      <c r="Z43" s="358"/>
      <c r="AA43" s="358"/>
      <c r="AB43" s="358"/>
    </row>
    <row r="44" spans="1:28" s="606" customFormat="1" ht="24" customHeight="1" x14ac:dyDescent="0.25">
      <c r="A44" s="364" t="s">
        <v>118</v>
      </c>
      <c r="B44" s="607"/>
      <c r="C44" s="365">
        <f>Balanza!C27</f>
        <v>0</v>
      </c>
      <c r="D44" s="366" t="s">
        <v>169</v>
      </c>
      <c r="E44" s="368">
        <f>C44</f>
        <v>0</v>
      </c>
      <c r="F44" s="368" t="s">
        <v>112</v>
      </c>
      <c r="G44" s="438" t="s">
        <v>112</v>
      </c>
      <c r="H44" s="426" t="s">
        <v>118</v>
      </c>
      <c r="I44" s="607"/>
      <c r="J44" s="365">
        <f>Balanza!E27</f>
        <v>0</v>
      </c>
      <c r="K44" s="366" t="s">
        <v>169</v>
      </c>
      <c r="L44" s="368">
        <f>J44</f>
        <v>0</v>
      </c>
      <c r="M44" s="368" t="s">
        <v>112</v>
      </c>
      <c r="N44" s="370" t="s">
        <v>112</v>
      </c>
      <c r="O44" s="426" t="s">
        <v>118</v>
      </c>
      <c r="P44" s="607"/>
      <c r="Q44" s="365">
        <f>Balanza!G27</f>
        <v>0</v>
      </c>
      <c r="R44" s="366" t="s">
        <v>169</v>
      </c>
      <c r="S44" s="368">
        <f>Q44</f>
        <v>0</v>
      </c>
      <c r="T44" s="368" t="s">
        <v>112</v>
      </c>
      <c r="U44" s="370" t="s">
        <v>112</v>
      </c>
      <c r="V44" s="484"/>
      <c r="W44" s="495"/>
      <c r="X44" s="489"/>
      <c r="Y44" s="496"/>
      <c r="Z44" s="358"/>
      <c r="AA44" s="358"/>
      <c r="AB44" s="358"/>
    </row>
    <row r="45" spans="1:28" s="606" customFormat="1" ht="24" customHeight="1" x14ac:dyDescent="0.25">
      <c r="A45" s="362" t="s">
        <v>116</v>
      </c>
      <c r="B45" s="607"/>
      <c r="C45" s="371">
        <f>2*(SQRT(Balanza!$B$9+Balanza!$C$9*(POWER(B43,2))))</f>
        <v>1.3311649033834989E-2</v>
      </c>
      <c r="D45" s="372" t="s">
        <v>239</v>
      </c>
      <c r="E45" s="368">
        <f>C45/2</f>
        <v>6.6558245169174943E-3</v>
      </c>
      <c r="F45" s="368" t="s">
        <v>112</v>
      </c>
      <c r="G45" s="438" t="s">
        <v>112</v>
      </c>
      <c r="H45" s="427" t="s">
        <v>116</v>
      </c>
      <c r="I45" s="607"/>
      <c r="J45" s="371">
        <f>2*(SQRT(Balanza!$B$9+Balanza!$C$9*(POWER(I43,2))))</f>
        <v>1.3311649033834989E-2</v>
      </c>
      <c r="K45" s="372" t="s">
        <v>239</v>
      </c>
      <c r="L45" s="368">
        <f>J45/2</f>
        <v>6.6558245169174943E-3</v>
      </c>
      <c r="M45" s="368" t="s">
        <v>112</v>
      </c>
      <c r="N45" s="370" t="s">
        <v>112</v>
      </c>
      <c r="O45" s="427" t="s">
        <v>116</v>
      </c>
      <c r="P45" s="607"/>
      <c r="Q45" s="371">
        <f>2*(SQRT(Balanza!$B$9+Balanza!$C$9*(POWER(P43,2))))</f>
        <v>1.3311649033834989E-2</v>
      </c>
      <c r="R45" s="372" t="s">
        <v>239</v>
      </c>
      <c r="S45" s="368">
        <f>Q45/2</f>
        <v>6.6558245169174943E-3</v>
      </c>
      <c r="T45" s="368" t="s">
        <v>112</v>
      </c>
      <c r="U45" s="370" t="s">
        <v>112</v>
      </c>
      <c r="V45" s="480"/>
      <c r="W45" s="481"/>
      <c r="X45" s="489"/>
      <c r="Y45" s="483"/>
      <c r="Z45" s="358"/>
      <c r="AA45" s="358"/>
      <c r="AB45" s="358"/>
    </row>
    <row r="46" spans="1:28" s="606" customFormat="1" ht="24" customHeight="1" x14ac:dyDescent="0.25">
      <c r="A46" s="428" t="s">
        <v>117</v>
      </c>
      <c r="B46" s="607"/>
      <c r="C46" s="374" t="str">
        <f>Balanza!$B$11</f>
        <v>0.01</v>
      </c>
      <c r="D46" s="375" t="s">
        <v>240</v>
      </c>
      <c r="E46" s="368" t="e">
        <f>C46/SQRT(3)/2</f>
        <v>#VALUE!</v>
      </c>
      <c r="F46" s="368" t="s">
        <v>112</v>
      </c>
      <c r="G46" s="438" t="s">
        <v>112</v>
      </c>
      <c r="H46" s="428" t="s">
        <v>117</v>
      </c>
      <c r="I46" s="607"/>
      <c r="J46" s="374" t="str">
        <f>Balanza!$B$11</f>
        <v>0.01</v>
      </c>
      <c r="K46" s="375" t="s">
        <v>240</v>
      </c>
      <c r="L46" s="368" t="e">
        <f>J46/SQRT(3)/2</f>
        <v>#VALUE!</v>
      </c>
      <c r="M46" s="368" t="s">
        <v>112</v>
      </c>
      <c r="N46" s="370" t="s">
        <v>112</v>
      </c>
      <c r="O46" s="428" t="s">
        <v>117</v>
      </c>
      <c r="P46" s="607"/>
      <c r="Q46" s="374" t="str">
        <f>Balanza!$B$11</f>
        <v>0.01</v>
      </c>
      <c r="R46" s="375" t="s">
        <v>240</v>
      </c>
      <c r="S46" s="368" t="e">
        <f>Q46/SQRT(3)/2</f>
        <v>#VALUE!</v>
      </c>
      <c r="T46" s="368" t="s">
        <v>112</v>
      </c>
      <c r="U46" s="370" t="s">
        <v>112</v>
      </c>
      <c r="V46" s="484"/>
      <c r="W46" s="490"/>
      <c r="X46" s="489"/>
      <c r="Y46" s="491"/>
      <c r="Z46" s="358"/>
      <c r="AA46" s="358"/>
      <c r="AB46" s="358"/>
    </row>
    <row r="47" spans="1:28" s="606" customFormat="1" ht="24" customHeight="1" x14ac:dyDescent="0.25">
      <c r="A47" s="391" t="s">
        <v>141</v>
      </c>
      <c r="B47" s="392">
        <f>Balanza!B28</f>
        <v>0</v>
      </c>
      <c r="C47" s="605"/>
      <c r="D47" s="397" t="s">
        <v>112</v>
      </c>
      <c r="E47" s="399" t="e">
        <f>SQRT((E48*E48)+(E49*E49)+(E50*E50))</f>
        <v>#VALUE!</v>
      </c>
      <c r="F47" s="394" t="e">
        <f>((B39-B43)*100)/(POWER((B43-B47),2))</f>
        <v>#DIV/0!</v>
      </c>
      <c r="G47" s="402" t="e">
        <f>+E47*F47</f>
        <v>#VALUE!</v>
      </c>
      <c r="H47" s="391" t="s">
        <v>141</v>
      </c>
      <c r="I47" s="395">
        <f>+Balanza!D28</f>
        <v>0</v>
      </c>
      <c r="J47" s="605"/>
      <c r="K47" s="397" t="s">
        <v>112</v>
      </c>
      <c r="L47" s="394" t="e">
        <f>SQRT((L48*L48)+(L49*L49)+(L50*L50))</f>
        <v>#VALUE!</v>
      </c>
      <c r="M47" s="394" t="e">
        <f>((I39-I43)*100)/(POWER((I43-I47),2))</f>
        <v>#DIV/0!</v>
      </c>
      <c r="N47" s="396" t="e">
        <f>(L47*L47)*(M47*M47)</f>
        <v>#VALUE!</v>
      </c>
      <c r="O47" s="391" t="s">
        <v>141</v>
      </c>
      <c r="P47" s="395">
        <f>Balanza!F28</f>
        <v>0</v>
      </c>
      <c r="Q47" s="605"/>
      <c r="R47" s="397" t="s">
        <v>112</v>
      </c>
      <c r="S47" s="394" t="e">
        <f>SQRT((S48*S48)+(S49*S49)+(S50*S50))</f>
        <v>#VALUE!</v>
      </c>
      <c r="T47" s="394" t="e">
        <f>((P39-P43)*100)/(POWER((P43-P47),2))</f>
        <v>#DIV/0!</v>
      </c>
      <c r="U47" s="396" t="e">
        <f>(S47*S47)*(T47*T47)</f>
        <v>#VALUE!</v>
      </c>
      <c r="V47" s="484"/>
      <c r="W47" s="481"/>
      <c r="X47" s="489"/>
      <c r="Y47" s="483"/>
      <c r="Z47" s="358"/>
      <c r="AA47" s="358"/>
      <c r="AB47" s="358"/>
    </row>
    <row r="48" spans="1:28" s="606" customFormat="1" ht="24" customHeight="1" x14ac:dyDescent="0.25">
      <c r="A48" s="364" t="s">
        <v>118</v>
      </c>
      <c r="B48" s="607"/>
      <c r="C48" s="365">
        <f>Balanza!C28</f>
        <v>0</v>
      </c>
      <c r="D48" s="366" t="s">
        <v>169</v>
      </c>
      <c r="E48" s="368">
        <f>C48</f>
        <v>0</v>
      </c>
      <c r="F48" s="369" t="s">
        <v>112</v>
      </c>
      <c r="G48" s="438" t="s">
        <v>112</v>
      </c>
      <c r="H48" s="426" t="s">
        <v>118</v>
      </c>
      <c r="I48" s="607"/>
      <c r="J48" s="365">
        <f>Balanza!E28</f>
        <v>0</v>
      </c>
      <c r="K48" s="366" t="s">
        <v>169</v>
      </c>
      <c r="L48" s="368">
        <f>J48</f>
        <v>0</v>
      </c>
      <c r="M48" s="368" t="s">
        <v>112</v>
      </c>
      <c r="N48" s="370" t="s">
        <v>112</v>
      </c>
      <c r="O48" s="426" t="s">
        <v>118</v>
      </c>
      <c r="P48" s="607"/>
      <c r="Q48" s="365">
        <f>Balanza!G28</f>
        <v>0</v>
      </c>
      <c r="R48" s="366" t="s">
        <v>169</v>
      </c>
      <c r="S48" s="368">
        <f>Q48</f>
        <v>0</v>
      </c>
      <c r="T48" s="368" t="s">
        <v>112</v>
      </c>
      <c r="U48" s="370" t="s">
        <v>112</v>
      </c>
      <c r="V48" s="484"/>
      <c r="W48" s="493"/>
      <c r="X48" s="497"/>
      <c r="Y48" s="608"/>
      <c r="Z48" s="358"/>
      <c r="AA48" s="358"/>
      <c r="AB48" s="358"/>
    </row>
    <row r="49" spans="1:28" s="606" customFormat="1" ht="24" customHeight="1" x14ac:dyDescent="0.25">
      <c r="A49" s="362" t="s">
        <v>116</v>
      </c>
      <c r="B49" s="607"/>
      <c r="C49" s="371">
        <f>2*(SQRT(Balanza!$B$9+Balanza!$C$9*(POWER(B47,2))))</f>
        <v>1.3311649033834989E-2</v>
      </c>
      <c r="D49" s="372" t="s">
        <v>239</v>
      </c>
      <c r="E49" s="368">
        <f>C49/2</f>
        <v>6.6558245169174943E-3</v>
      </c>
      <c r="F49" s="369" t="s">
        <v>112</v>
      </c>
      <c r="G49" s="438" t="s">
        <v>112</v>
      </c>
      <c r="H49" s="427" t="s">
        <v>116</v>
      </c>
      <c r="I49" s="607"/>
      <c r="J49" s="371">
        <f>2*(SQRT(Balanza!$B$9+Balanza!$C$9*(POWER(I47,2))))</f>
        <v>1.3311649033834989E-2</v>
      </c>
      <c r="K49" s="372" t="s">
        <v>239</v>
      </c>
      <c r="L49" s="368">
        <f>J49/2</f>
        <v>6.6558245169174943E-3</v>
      </c>
      <c r="M49" s="368" t="s">
        <v>112</v>
      </c>
      <c r="N49" s="370" t="s">
        <v>112</v>
      </c>
      <c r="O49" s="427" t="s">
        <v>116</v>
      </c>
      <c r="P49" s="607"/>
      <c r="Q49" s="371">
        <f>2*(SQRT(Balanza!$B$9+Balanza!$C$9*(POWER(P47,2))))</f>
        <v>1.3311649033834989E-2</v>
      </c>
      <c r="R49" s="372" t="s">
        <v>239</v>
      </c>
      <c r="S49" s="368">
        <f>Q49/2</f>
        <v>6.6558245169174943E-3</v>
      </c>
      <c r="T49" s="368" t="s">
        <v>112</v>
      </c>
      <c r="U49" s="370" t="s">
        <v>112</v>
      </c>
      <c r="V49" s="484"/>
      <c r="W49" s="495"/>
      <c r="X49" s="498"/>
      <c r="Y49" s="496"/>
      <c r="Z49" s="358"/>
      <c r="AA49" s="358"/>
      <c r="AB49" s="358"/>
    </row>
    <row r="50" spans="1:28" s="606" customFormat="1" ht="24" customHeight="1" x14ac:dyDescent="0.25">
      <c r="A50" s="428" t="s">
        <v>117</v>
      </c>
      <c r="B50" s="607"/>
      <c r="C50" s="374" t="str">
        <f>Balanza!$B$11</f>
        <v>0.01</v>
      </c>
      <c r="D50" s="375" t="s">
        <v>240</v>
      </c>
      <c r="E50" s="368" t="e">
        <f>C50/SQRT(3)/2</f>
        <v>#VALUE!</v>
      </c>
      <c r="F50" s="369" t="s">
        <v>112</v>
      </c>
      <c r="G50" s="438" t="s">
        <v>112</v>
      </c>
      <c r="H50" s="428" t="s">
        <v>117</v>
      </c>
      <c r="I50" s="607"/>
      <c r="J50" s="374" t="str">
        <f>Balanza!$B$11</f>
        <v>0.01</v>
      </c>
      <c r="K50" s="375" t="s">
        <v>240</v>
      </c>
      <c r="L50" s="368" t="e">
        <f>J50/SQRT(3)/2</f>
        <v>#VALUE!</v>
      </c>
      <c r="M50" s="368" t="s">
        <v>112</v>
      </c>
      <c r="N50" s="370" t="s">
        <v>112</v>
      </c>
      <c r="O50" s="428" t="s">
        <v>117</v>
      </c>
      <c r="P50" s="607"/>
      <c r="Q50" s="374" t="str">
        <f>Balanza!$B$11</f>
        <v>0.01</v>
      </c>
      <c r="R50" s="375" t="s">
        <v>240</v>
      </c>
      <c r="S50" s="368" t="e">
        <f>Q50/SQRT(3)/2</f>
        <v>#VALUE!</v>
      </c>
      <c r="T50" s="368" t="s">
        <v>112</v>
      </c>
      <c r="U50" s="370" t="s">
        <v>112</v>
      </c>
      <c r="V50" s="480"/>
      <c r="W50" s="481"/>
      <c r="X50" s="489"/>
      <c r="Y50" s="483"/>
      <c r="Z50" s="358"/>
      <c r="AA50" s="358"/>
      <c r="AB50" s="358"/>
    </row>
    <row r="51" spans="1:28" s="606" customFormat="1" ht="24" customHeight="1" x14ac:dyDescent="0.25">
      <c r="A51" s="421" t="s">
        <v>155</v>
      </c>
      <c r="B51" s="609"/>
      <c r="C51" s="422"/>
      <c r="D51" s="609"/>
      <c r="E51" s="423">
        <f>+SQRT(E52*E52+E53*E53)</f>
        <v>0.15004440176161191</v>
      </c>
      <c r="F51" s="424">
        <v>1</v>
      </c>
      <c r="G51" s="396">
        <f>+E51*F51</f>
        <v>0.15004440176161191</v>
      </c>
      <c r="H51" s="421" t="s">
        <v>155</v>
      </c>
      <c r="I51" s="609"/>
      <c r="J51" s="422"/>
      <c r="K51" s="609"/>
      <c r="L51" s="423">
        <f>+SQRT(L52*L52+L53*L53)</f>
        <v>0.15004440176161191</v>
      </c>
      <c r="M51" s="424">
        <v>1</v>
      </c>
      <c r="N51" s="396">
        <f>+L51*M51</f>
        <v>0.15004440176161191</v>
      </c>
      <c r="O51" s="421" t="s">
        <v>155</v>
      </c>
      <c r="P51" s="609"/>
      <c r="Q51" s="422"/>
      <c r="R51" s="609"/>
      <c r="S51" s="423">
        <f>+SQRT(S52*S52+S53*S53)</f>
        <v>0.15004440176161191</v>
      </c>
      <c r="T51" s="424">
        <v>1</v>
      </c>
      <c r="U51" s="396">
        <f>+S51*T51</f>
        <v>0.15004440176161191</v>
      </c>
      <c r="V51" s="480"/>
      <c r="W51" s="481"/>
      <c r="X51" s="489"/>
      <c r="Y51" s="483"/>
      <c r="Z51" s="358"/>
      <c r="AA51" s="358"/>
      <c r="AB51" s="358"/>
    </row>
    <row r="52" spans="1:28" s="606" customFormat="1" ht="24" customHeight="1" x14ac:dyDescent="0.25">
      <c r="A52" s="420" t="s">
        <v>256</v>
      </c>
      <c r="B52" s="610"/>
      <c r="C52" s="363">
        <f>Balanza!$E$55</f>
        <v>0.15000000000000002</v>
      </c>
      <c r="D52" s="417" t="s">
        <v>169</v>
      </c>
      <c r="E52" s="611">
        <f>+C52</f>
        <v>0.15000000000000002</v>
      </c>
      <c r="F52" s="368" t="s">
        <v>112</v>
      </c>
      <c r="G52" s="370" t="s">
        <v>112</v>
      </c>
      <c r="H52" s="583" t="s">
        <v>256</v>
      </c>
      <c r="I52" s="610"/>
      <c r="J52" s="363">
        <f>Balanza!$E$55</f>
        <v>0.15000000000000002</v>
      </c>
      <c r="K52" s="417" t="s">
        <v>169</v>
      </c>
      <c r="L52" s="611">
        <f>+J52</f>
        <v>0.15000000000000002</v>
      </c>
      <c r="M52" s="368" t="s">
        <v>112</v>
      </c>
      <c r="N52" s="370" t="s">
        <v>112</v>
      </c>
      <c r="O52" s="583" t="s">
        <v>256</v>
      </c>
      <c r="P52" s="610"/>
      <c r="Q52" s="363">
        <f>Balanza!$E$55</f>
        <v>0.15000000000000002</v>
      </c>
      <c r="R52" s="417" t="s">
        <v>169</v>
      </c>
      <c r="S52" s="611">
        <f>+Q52</f>
        <v>0.15000000000000002</v>
      </c>
      <c r="T52" s="368" t="s">
        <v>112</v>
      </c>
      <c r="U52" s="370" t="s">
        <v>112</v>
      </c>
      <c r="V52" s="480"/>
      <c r="W52" s="481"/>
      <c r="X52" s="489"/>
      <c r="Y52" s="483"/>
      <c r="Z52" s="358"/>
      <c r="AA52" s="358"/>
      <c r="AB52" s="358"/>
    </row>
    <row r="53" spans="1:28" s="606" customFormat="1" ht="24" customHeight="1" x14ac:dyDescent="0.25">
      <c r="A53" s="420" t="s">
        <v>170</v>
      </c>
      <c r="B53" s="610"/>
      <c r="C53" s="418">
        <f>Balanza!$I$32</f>
        <v>7.3000000000000001E-3</v>
      </c>
      <c r="D53" s="418" t="s">
        <v>239</v>
      </c>
      <c r="E53" s="367">
        <f>C53/2</f>
        <v>3.65E-3</v>
      </c>
      <c r="F53" s="368" t="s">
        <v>112</v>
      </c>
      <c r="G53" s="370" t="s">
        <v>112</v>
      </c>
      <c r="H53" s="583" t="s">
        <v>170</v>
      </c>
      <c r="I53" s="610"/>
      <c r="J53" s="418">
        <f>Balanza!$I$32</f>
        <v>7.3000000000000001E-3</v>
      </c>
      <c r="K53" s="418" t="s">
        <v>239</v>
      </c>
      <c r="L53" s="367">
        <f>J53/2</f>
        <v>3.65E-3</v>
      </c>
      <c r="M53" s="368" t="s">
        <v>112</v>
      </c>
      <c r="N53" s="370" t="s">
        <v>112</v>
      </c>
      <c r="O53" s="583" t="s">
        <v>170</v>
      </c>
      <c r="P53" s="610"/>
      <c r="Q53" s="418">
        <f>Balanza!$I$32</f>
        <v>7.3000000000000001E-3</v>
      </c>
      <c r="R53" s="418" t="s">
        <v>239</v>
      </c>
      <c r="S53" s="367">
        <f>Q53/2</f>
        <v>3.65E-3</v>
      </c>
      <c r="T53" s="368" t="s">
        <v>112</v>
      </c>
      <c r="U53" s="370" t="s">
        <v>112</v>
      </c>
      <c r="V53" s="480"/>
      <c r="W53" s="481"/>
      <c r="X53" s="489"/>
      <c r="Y53" s="483"/>
      <c r="Z53" s="358"/>
      <c r="AA53" s="358"/>
      <c r="AB53" s="358"/>
    </row>
    <row r="54" spans="1:28" s="606" customFormat="1" ht="24" customHeight="1" thickBot="1" x14ac:dyDescent="0.3">
      <c r="A54" s="429" t="s">
        <v>143</v>
      </c>
      <c r="B54" s="430">
        <f>+Precision!B6</f>
        <v>0.48709342019780943</v>
      </c>
      <c r="C54" s="431">
        <f>+B54</f>
        <v>0.48709342019780943</v>
      </c>
      <c r="D54" s="432"/>
      <c r="E54" s="433">
        <f>+C54</f>
        <v>0.48709342019780943</v>
      </c>
      <c r="F54" s="434">
        <v>1</v>
      </c>
      <c r="G54" s="439">
        <f>+E54*F54</f>
        <v>0.48709342019780943</v>
      </c>
      <c r="H54" s="408" t="s">
        <v>143</v>
      </c>
      <c r="I54" s="430">
        <f>+B54</f>
        <v>0.48709342019780943</v>
      </c>
      <c r="J54" s="584">
        <f>+I54</f>
        <v>0.48709342019780943</v>
      </c>
      <c r="K54" s="411"/>
      <c r="L54" s="412">
        <f>+J54</f>
        <v>0.48709342019780943</v>
      </c>
      <c r="M54" s="413">
        <v>1</v>
      </c>
      <c r="N54" s="416">
        <f>+L54*M54</f>
        <v>0.48709342019780943</v>
      </c>
      <c r="O54" s="408" t="s">
        <v>143</v>
      </c>
      <c r="P54" s="430">
        <f>+B54</f>
        <v>0.48709342019780943</v>
      </c>
      <c r="Q54" s="584">
        <f>+P54</f>
        <v>0.48709342019780943</v>
      </c>
      <c r="R54" s="411"/>
      <c r="S54" s="412">
        <f>+Q54</f>
        <v>0.48709342019780943</v>
      </c>
      <c r="T54" s="413">
        <v>1</v>
      </c>
      <c r="U54" s="416">
        <f>+S54*T54</f>
        <v>0.48709342019780943</v>
      </c>
      <c r="V54" s="484"/>
      <c r="W54" s="490"/>
      <c r="X54" s="489"/>
      <c r="Y54" s="491"/>
      <c r="Z54" s="358"/>
      <c r="AA54" s="358"/>
      <c r="AB54" s="358"/>
    </row>
    <row r="55" spans="1:28" s="606" customFormat="1" ht="24" customHeight="1" thickBot="1" x14ac:dyDescent="0.3">
      <c r="A55" s="435" t="s">
        <v>142</v>
      </c>
      <c r="B55" s="436"/>
      <c r="C55" s="436"/>
      <c r="D55" s="436"/>
      <c r="E55" s="436"/>
      <c r="F55" s="589" t="s">
        <v>110</v>
      </c>
      <c r="G55" s="440" t="e">
        <f>+SQRT(G39*G39+G43*G43+G47*G47+G51*G51+G54*G54)</f>
        <v>#VALUE!</v>
      </c>
      <c r="H55" s="612"/>
      <c r="I55" s="613"/>
      <c r="J55" s="613"/>
      <c r="K55" s="613"/>
      <c r="L55" s="613"/>
      <c r="M55" s="613"/>
      <c r="N55" s="437" t="e">
        <f>+SQRT(N39*N39+N43*N43+N47*N47+N51*N51+N54*N54)</f>
        <v>#VALUE!</v>
      </c>
      <c r="O55" s="612"/>
      <c r="P55" s="613"/>
      <c r="Q55" s="613"/>
      <c r="R55" s="613"/>
      <c r="S55" s="613"/>
      <c r="T55" s="613"/>
      <c r="U55" s="437" t="e">
        <f>+SQRT(U39*U39+U43*U43+U47*U47+U51*U51+U54*U54)</f>
        <v>#VALUE!</v>
      </c>
      <c r="V55" s="484"/>
      <c r="W55" s="481"/>
      <c r="X55" s="489"/>
      <c r="Y55" s="483"/>
      <c r="Z55" s="358"/>
      <c r="AA55" s="358"/>
      <c r="AB55" s="358"/>
    </row>
    <row r="56" spans="1:28" s="606" customFormat="1" ht="24" customHeight="1" thickBot="1" x14ac:dyDescent="0.3">
      <c r="A56" s="384" t="s">
        <v>243</v>
      </c>
      <c r="B56" s="385"/>
      <c r="C56" s="385"/>
      <c r="D56" s="385"/>
      <c r="E56" s="385"/>
      <c r="F56" s="419" t="s">
        <v>110</v>
      </c>
      <c r="G56" s="407" t="e">
        <f>N55*2</f>
        <v>#VALUE!</v>
      </c>
      <c r="H56" s="614"/>
      <c r="I56" s="347"/>
      <c r="J56" s="347"/>
      <c r="K56" s="347"/>
      <c r="L56" s="347"/>
      <c r="M56" s="347"/>
      <c r="N56" s="588"/>
      <c r="P56" s="347"/>
      <c r="Q56" s="347"/>
      <c r="R56" s="347"/>
      <c r="S56" s="347"/>
      <c r="T56" s="347"/>
      <c r="U56" s="588"/>
      <c r="V56" s="484"/>
      <c r="W56" s="481"/>
      <c r="X56" s="489"/>
      <c r="Y56" s="483"/>
      <c r="Z56" s="358"/>
      <c r="AA56" s="358"/>
      <c r="AB56" s="358"/>
    </row>
    <row r="57" spans="1:28" s="606" customFormat="1" ht="24" customHeight="1" x14ac:dyDescent="0.25">
      <c r="R57" s="478"/>
      <c r="T57" s="487"/>
      <c r="U57" s="479"/>
      <c r="V57" s="484"/>
      <c r="W57" s="493"/>
      <c r="X57" s="497"/>
      <c r="Y57" s="608"/>
      <c r="Z57" s="358"/>
      <c r="AA57" s="358"/>
      <c r="AB57" s="358"/>
    </row>
    <row r="58" spans="1:28" s="606" customFormat="1" ht="24" customHeight="1" thickBot="1" x14ac:dyDescent="0.3">
      <c r="A58" s="415" t="s">
        <v>206</v>
      </c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R58" s="478"/>
      <c r="S58" s="494"/>
      <c r="T58" s="492"/>
      <c r="U58" s="488"/>
      <c r="V58" s="484"/>
      <c r="W58" s="495"/>
      <c r="X58" s="498"/>
      <c r="Y58" s="496"/>
      <c r="Z58" s="358"/>
      <c r="AA58" s="358"/>
      <c r="AB58" s="358"/>
    </row>
    <row r="59" spans="1:28" s="606" customFormat="1" ht="45.75" customHeight="1" thickBot="1" x14ac:dyDescent="0.3">
      <c r="A59" s="386" t="s">
        <v>121</v>
      </c>
      <c r="B59" s="387" t="s">
        <v>120</v>
      </c>
      <c r="C59" s="388" t="s">
        <v>167</v>
      </c>
      <c r="D59" s="388" t="s">
        <v>168</v>
      </c>
      <c r="E59" s="389" t="s">
        <v>241</v>
      </c>
      <c r="F59" s="389" t="s">
        <v>119</v>
      </c>
      <c r="G59" s="400" t="s">
        <v>242</v>
      </c>
      <c r="H59" s="386" t="s">
        <v>121</v>
      </c>
      <c r="I59" s="387" t="s">
        <v>120</v>
      </c>
      <c r="J59" s="388" t="s">
        <v>167</v>
      </c>
      <c r="K59" s="388" t="s">
        <v>168</v>
      </c>
      <c r="L59" s="389" t="s">
        <v>241</v>
      </c>
      <c r="M59" s="389" t="s">
        <v>119</v>
      </c>
      <c r="N59" s="390" t="s">
        <v>242</v>
      </c>
      <c r="R59" s="120"/>
      <c r="T59" s="499"/>
      <c r="U59" s="488"/>
      <c r="V59" s="484"/>
      <c r="W59" s="495"/>
      <c r="X59" s="498"/>
      <c r="Y59" s="500"/>
      <c r="Z59" s="358"/>
      <c r="AA59" s="358"/>
      <c r="AB59" s="358"/>
    </row>
    <row r="60" spans="1:28" s="606" customFormat="1" ht="21" customHeight="1" x14ac:dyDescent="0.25">
      <c r="A60" s="376" t="s">
        <v>138</v>
      </c>
      <c r="B60" s="377" t="e">
        <f>+((B61-B65)/(B65-B69)*100)</f>
        <v>#DIV/0!</v>
      </c>
      <c r="C60" s="604"/>
      <c r="D60" s="378" t="s">
        <v>112</v>
      </c>
      <c r="E60" s="379"/>
      <c r="F60" s="379"/>
      <c r="G60" s="401"/>
      <c r="H60" s="376" t="s">
        <v>138</v>
      </c>
      <c r="I60" s="585" t="e">
        <f>+((I61-I65)/(I65-I69)*100)</f>
        <v>#DIV/0!</v>
      </c>
      <c r="J60" s="615"/>
      <c r="K60" s="404" t="s">
        <v>112</v>
      </c>
      <c r="L60" s="405"/>
      <c r="M60" s="405"/>
      <c r="N60" s="406"/>
      <c r="R60" s="120"/>
      <c r="T60" s="499"/>
      <c r="U60" s="501"/>
      <c r="V60" s="502"/>
      <c r="W60" s="503"/>
      <c r="X60" s="504"/>
      <c r="Y60" s="500"/>
      <c r="Z60" s="358"/>
      <c r="AA60" s="358"/>
      <c r="AB60" s="358"/>
    </row>
    <row r="61" spans="1:28" s="606" customFormat="1" ht="21" customHeight="1" x14ac:dyDescent="0.25">
      <c r="A61" s="391" t="s">
        <v>139</v>
      </c>
      <c r="B61" s="392">
        <f>Balanza!H26</f>
        <v>0</v>
      </c>
      <c r="C61" s="605"/>
      <c r="D61" s="393" t="s">
        <v>112</v>
      </c>
      <c r="E61" s="394" t="e">
        <f>SQRT((E62*E62)+(E63*E63)+(E64*E64))</f>
        <v>#VALUE!</v>
      </c>
      <c r="F61" s="394" t="e">
        <f>100/(B65-B69)</f>
        <v>#DIV/0!</v>
      </c>
      <c r="G61" s="402" t="e">
        <f>+E61*F61</f>
        <v>#VALUE!</v>
      </c>
      <c r="H61" s="391" t="s">
        <v>139</v>
      </c>
      <c r="I61" s="395">
        <f>Balanza!J26</f>
        <v>0</v>
      </c>
      <c r="J61" s="605"/>
      <c r="K61" s="393" t="s">
        <v>112</v>
      </c>
      <c r="L61" s="394" t="e">
        <f>SQRT((L62*L62)+(L63*L63)+(L64*L64))</f>
        <v>#VALUE!</v>
      </c>
      <c r="M61" s="394" t="e">
        <f>100/(I65-I69)</f>
        <v>#DIV/0!</v>
      </c>
      <c r="N61" s="396" t="e">
        <f>+L61*M61</f>
        <v>#VALUE!</v>
      </c>
      <c r="R61" s="505"/>
      <c r="S61" s="608"/>
      <c r="T61" s="608"/>
      <c r="V61" s="501"/>
      <c r="W61" s="616"/>
      <c r="X61" s="616"/>
      <c r="Y61" s="616"/>
      <c r="Z61" s="358"/>
      <c r="AA61" s="358"/>
      <c r="AB61" s="358"/>
    </row>
    <row r="62" spans="1:28" s="606" customFormat="1" ht="21" customHeight="1" x14ac:dyDescent="0.25">
      <c r="A62" s="364" t="s">
        <v>118</v>
      </c>
      <c r="B62" s="607"/>
      <c r="C62" s="365">
        <f>Balanza!I26</f>
        <v>0</v>
      </c>
      <c r="D62" s="366" t="s">
        <v>169</v>
      </c>
      <c r="E62" s="367">
        <f>C62</f>
        <v>0</v>
      </c>
      <c r="F62" s="368" t="s">
        <v>112</v>
      </c>
      <c r="G62" s="403" t="s">
        <v>112</v>
      </c>
      <c r="H62" s="364" t="s">
        <v>118</v>
      </c>
      <c r="I62" s="607"/>
      <c r="J62" s="365">
        <f>Balanza!K26</f>
        <v>0</v>
      </c>
      <c r="K62" s="366" t="s">
        <v>169</v>
      </c>
      <c r="L62" s="367">
        <f>J62</f>
        <v>0</v>
      </c>
      <c r="M62" s="368" t="s">
        <v>112</v>
      </c>
      <c r="N62" s="370" t="s">
        <v>112</v>
      </c>
      <c r="R62" s="505"/>
      <c r="S62" s="484"/>
      <c r="T62" s="484"/>
      <c r="V62" s="506"/>
      <c r="W62" s="484"/>
      <c r="X62" s="484"/>
      <c r="Y62" s="484"/>
      <c r="Z62" s="358"/>
      <c r="AA62" s="358"/>
      <c r="AB62" s="358"/>
    </row>
    <row r="63" spans="1:28" s="606" customFormat="1" ht="21" customHeight="1" x14ac:dyDescent="0.25">
      <c r="A63" s="362" t="s">
        <v>116</v>
      </c>
      <c r="B63" s="607"/>
      <c r="C63" s="371">
        <f>2*(SQRT(Balanza!$B$9+Balanza!$C$9*(POWER(B61,2))))</f>
        <v>1.3311649033834989E-2</v>
      </c>
      <c r="D63" s="372" t="s">
        <v>239</v>
      </c>
      <c r="E63" s="367">
        <f>C63/2</f>
        <v>6.6558245169174943E-3</v>
      </c>
      <c r="F63" s="368" t="s">
        <v>112</v>
      </c>
      <c r="G63" s="403" t="s">
        <v>112</v>
      </c>
      <c r="H63" s="362" t="s">
        <v>116</v>
      </c>
      <c r="I63" s="607"/>
      <c r="J63" s="371">
        <f>2*(SQRT(Balanza!$B$9+Balanza!$C$9*(POWER(I61,2))))</f>
        <v>1.3311649033834989E-2</v>
      </c>
      <c r="K63" s="372" t="s">
        <v>239</v>
      </c>
      <c r="L63" s="367">
        <f>J63/2</f>
        <v>6.6558245169174943E-3</v>
      </c>
      <c r="M63" s="368" t="s">
        <v>112</v>
      </c>
      <c r="N63" s="370" t="s">
        <v>112</v>
      </c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</row>
    <row r="64" spans="1:28" s="606" customFormat="1" ht="21" customHeight="1" x14ac:dyDescent="0.25">
      <c r="A64" s="373" t="s">
        <v>117</v>
      </c>
      <c r="B64" s="607"/>
      <c r="C64" s="374" t="str">
        <f>Balanza!$B$11</f>
        <v>0.01</v>
      </c>
      <c r="D64" s="375" t="s">
        <v>240</v>
      </c>
      <c r="E64" s="367" t="e">
        <f>C64/SQRT(3)/2</f>
        <v>#VALUE!</v>
      </c>
      <c r="F64" s="368" t="s">
        <v>112</v>
      </c>
      <c r="G64" s="403" t="s">
        <v>112</v>
      </c>
      <c r="H64" s="373" t="s">
        <v>117</v>
      </c>
      <c r="I64" s="607"/>
      <c r="J64" s="374" t="str">
        <f>Balanza!$B$11</f>
        <v>0.01</v>
      </c>
      <c r="K64" s="375" t="s">
        <v>240</v>
      </c>
      <c r="L64" s="367" t="e">
        <f>J64/SQRT(3)/2</f>
        <v>#VALUE!</v>
      </c>
      <c r="M64" s="368" t="s">
        <v>112</v>
      </c>
      <c r="N64" s="370" t="s">
        <v>112</v>
      </c>
      <c r="R64" s="507"/>
      <c r="S64" s="508"/>
      <c r="T64" s="509"/>
      <c r="U64" s="510"/>
      <c r="V64" s="175"/>
      <c r="W64" s="175"/>
      <c r="X64" s="175"/>
      <c r="Y64" s="175"/>
      <c r="Z64" s="175"/>
      <c r="AA64" s="175"/>
      <c r="AB64" s="347"/>
    </row>
    <row r="65" spans="1:28" s="606" customFormat="1" ht="21" customHeight="1" x14ac:dyDescent="0.25">
      <c r="A65" s="391" t="s">
        <v>140</v>
      </c>
      <c r="B65" s="395">
        <f>Balanza!H27</f>
        <v>0</v>
      </c>
      <c r="C65" s="605"/>
      <c r="D65" s="397" t="s">
        <v>112</v>
      </c>
      <c r="E65" s="394" t="e">
        <f>SQRT((E66*E66)+(E67*E67)+(E68*E68))</f>
        <v>#VALUE!</v>
      </c>
      <c r="F65" s="394" t="e">
        <f>((B61-B69)*100)/(POWER((B65-B69),2))</f>
        <v>#DIV/0!</v>
      </c>
      <c r="G65" s="402" t="e">
        <f>+E65*F65</f>
        <v>#VALUE!</v>
      </c>
      <c r="H65" s="391" t="s">
        <v>140</v>
      </c>
      <c r="I65" s="395">
        <f>Balanza!J27</f>
        <v>0</v>
      </c>
      <c r="J65" s="605"/>
      <c r="K65" s="397" t="s">
        <v>112</v>
      </c>
      <c r="L65" s="394" t="e">
        <f>SQRT((L66*L66)+(L67*L67)+(L68*L68))</f>
        <v>#VALUE!</v>
      </c>
      <c r="M65" s="394" t="e">
        <f>((I61-I69)*100)/(POWER((I65-I69),2))</f>
        <v>#DIV/0!</v>
      </c>
      <c r="N65" s="396" t="e">
        <f>+L65*M65</f>
        <v>#VALUE!</v>
      </c>
      <c r="R65" s="599"/>
      <c r="S65" s="617"/>
      <c r="T65" s="511"/>
      <c r="U65" s="512"/>
      <c r="V65" s="175"/>
      <c r="W65" s="175"/>
      <c r="X65" s="175"/>
      <c r="Y65" s="175"/>
      <c r="Z65" s="175"/>
      <c r="AA65" s="175"/>
      <c r="AB65" s="347"/>
    </row>
    <row r="66" spans="1:28" s="606" customFormat="1" ht="21" customHeight="1" x14ac:dyDescent="0.25">
      <c r="A66" s="364" t="s">
        <v>118</v>
      </c>
      <c r="B66" s="607"/>
      <c r="C66" s="365">
        <f>Balanza!I27</f>
        <v>0</v>
      </c>
      <c r="D66" s="366" t="s">
        <v>169</v>
      </c>
      <c r="E66" s="367">
        <f>C66</f>
        <v>0</v>
      </c>
      <c r="F66" s="368" t="s">
        <v>112</v>
      </c>
      <c r="G66" s="403" t="s">
        <v>112</v>
      </c>
      <c r="H66" s="364" t="s">
        <v>118</v>
      </c>
      <c r="I66" s="607"/>
      <c r="J66" s="365">
        <f>Balanza!K27</f>
        <v>0</v>
      </c>
      <c r="K66" s="366" t="s">
        <v>169</v>
      </c>
      <c r="L66" s="367">
        <f>J66</f>
        <v>0</v>
      </c>
      <c r="M66" s="368" t="s">
        <v>112</v>
      </c>
      <c r="N66" s="370" t="s">
        <v>112</v>
      </c>
      <c r="R66" s="599"/>
      <c r="S66" s="617"/>
      <c r="T66" s="511"/>
      <c r="U66" s="512"/>
      <c r="V66" s="175"/>
      <c r="W66" s="175"/>
      <c r="X66" s="175"/>
      <c r="Y66" s="175"/>
      <c r="Z66" s="175"/>
      <c r="AA66" s="175"/>
      <c r="AB66" s="347"/>
    </row>
    <row r="67" spans="1:28" s="606" customFormat="1" ht="21" customHeight="1" x14ac:dyDescent="0.25">
      <c r="A67" s="362" t="s">
        <v>116</v>
      </c>
      <c r="B67" s="607"/>
      <c r="C67" s="371">
        <f>2*(SQRT(Balanza!$B$9+Balanza!$C$9*(POWER(B65,2))))</f>
        <v>1.3311649033834989E-2</v>
      </c>
      <c r="D67" s="372" t="s">
        <v>239</v>
      </c>
      <c r="E67" s="367">
        <f>C67/2</f>
        <v>6.6558245169174943E-3</v>
      </c>
      <c r="F67" s="368" t="s">
        <v>112</v>
      </c>
      <c r="G67" s="403" t="s">
        <v>112</v>
      </c>
      <c r="H67" s="362" t="s">
        <v>116</v>
      </c>
      <c r="I67" s="607"/>
      <c r="J67" s="371">
        <f>2*(SQRT(Balanza!$B$9+Balanza!$C$9*(POWER(I65,2))))</f>
        <v>1.3311649033834989E-2</v>
      </c>
      <c r="K67" s="372" t="s">
        <v>239</v>
      </c>
      <c r="L67" s="367">
        <f>J67/2</f>
        <v>6.6558245169174943E-3</v>
      </c>
      <c r="M67" s="368" t="s">
        <v>112</v>
      </c>
      <c r="N67" s="370" t="s">
        <v>112</v>
      </c>
      <c r="R67" s="599"/>
      <c r="S67" s="617"/>
      <c r="T67" s="511"/>
      <c r="U67" s="512"/>
      <c r="V67" s="175"/>
      <c r="W67" s="175"/>
      <c r="X67" s="175"/>
      <c r="Y67" s="175"/>
      <c r="Z67" s="175"/>
      <c r="AA67" s="175"/>
      <c r="AB67" s="347"/>
    </row>
    <row r="68" spans="1:28" s="606" customFormat="1" ht="21" customHeight="1" x14ac:dyDescent="0.25">
      <c r="A68" s="373" t="s">
        <v>117</v>
      </c>
      <c r="B68" s="607"/>
      <c r="C68" s="374" t="str">
        <f>Balanza!$B$11</f>
        <v>0.01</v>
      </c>
      <c r="D68" s="375" t="s">
        <v>240</v>
      </c>
      <c r="E68" s="367" t="e">
        <f>C68/SQRT(3)/2</f>
        <v>#VALUE!</v>
      </c>
      <c r="F68" s="368" t="s">
        <v>112</v>
      </c>
      <c r="G68" s="403" t="s">
        <v>112</v>
      </c>
      <c r="H68" s="373" t="s">
        <v>117</v>
      </c>
      <c r="I68" s="607"/>
      <c r="J68" s="374" t="str">
        <f>Balanza!$B$11</f>
        <v>0.01</v>
      </c>
      <c r="K68" s="375" t="s">
        <v>240</v>
      </c>
      <c r="L68" s="367" t="e">
        <f>J68/SQRT(3)/2</f>
        <v>#VALUE!</v>
      </c>
      <c r="M68" s="368" t="s">
        <v>112</v>
      </c>
      <c r="N68" s="370" t="s">
        <v>112</v>
      </c>
      <c r="R68" s="599"/>
      <c r="S68" s="617"/>
      <c r="T68" s="511"/>
      <c r="U68" s="512"/>
      <c r="V68" s="175"/>
      <c r="W68" s="175"/>
      <c r="X68" s="175"/>
      <c r="Y68" s="175"/>
      <c r="Z68" s="175"/>
      <c r="AA68" s="175"/>
      <c r="AB68" s="347"/>
    </row>
    <row r="69" spans="1:28" s="606" customFormat="1" ht="21" customHeight="1" x14ac:dyDescent="0.25">
      <c r="A69" s="391" t="s">
        <v>141</v>
      </c>
      <c r="B69" s="395">
        <f>Balanza!H28</f>
        <v>0</v>
      </c>
      <c r="C69" s="605"/>
      <c r="D69" s="397" t="s">
        <v>112</v>
      </c>
      <c r="E69" s="394" t="e">
        <f>SQRT((E70*E70)+(E71*E71)+(E72*E72))</f>
        <v>#VALUE!</v>
      </c>
      <c r="F69" s="394" t="e">
        <f>((B61-B65)*100)/(POWER((B65-B69),2))</f>
        <v>#DIV/0!</v>
      </c>
      <c r="G69" s="402" t="e">
        <f>+E69*F69</f>
        <v>#VALUE!</v>
      </c>
      <c r="H69" s="391" t="s">
        <v>141</v>
      </c>
      <c r="I69" s="395">
        <f>Balanza!J28</f>
        <v>0</v>
      </c>
      <c r="J69" s="605"/>
      <c r="K69" s="397" t="s">
        <v>112</v>
      </c>
      <c r="L69" s="394" t="e">
        <f>SQRT((L70*L70)+(L71*L71)+(L72*L72))</f>
        <v>#VALUE!</v>
      </c>
      <c r="M69" s="394" t="e">
        <f>((I61-I65)*100)/(POWER((I65-I69),2))</f>
        <v>#DIV/0!</v>
      </c>
      <c r="N69" s="396" t="e">
        <f>+L69*M69</f>
        <v>#VALUE!</v>
      </c>
      <c r="R69" s="599"/>
      <c r="S69" s="617"/>
      <c r="T69" s="511"/>
      <c r="U69" s="512"/>
      <c r="V69" s="175"/>
      <c r="W69" s="175"/>
      <c r="X69" s="175"/>
      <c r="Y69" s="175"/>
      <c r="Z69" s="175"/>
      <c r="AA69" s="175"/>
      <c r="AB69" s="347"/>
    </row>
    <row r="70" spans="1:28" s="606" customFormat="1" ht="21" customHeight="1" x14ac:dyDescent="0.25">
      <c r="A70" s="364" t="s">
        <v>118</v>
      </c>
      <c r="B70" s="607"/>
      <c r="C70" s="365">
        <f>Balanza!I28</f>
        <v>0</v>
      </c>
      <c r="D70" s="366" t="s">
        <v>169</v>
      </c>
      <c r="E70" s="367">
        <f>C70</f>
        <v>0</v>
      </c>
      <c r="F70" s="368" t="s">
        <v>112</v>
      </c>
      <c r="G70" s="403" t="s">
        <v>112</v>
      </c>
      <c r="H70" s="364" t="s">
        <v>118</v>
      </c>
      <c r="I70" s="607"/>
      <c r="J70" s="365">
        <f>Balanza!K28</f>
        <v>0</v>
      </c>
      <c r="K70" s="366" t="s">
        <v>169</v>
      </c>
      <c r="L70" s="367">
        <f>J70</f>
        <v>0</v>
      </c>
      <c r="M70" s="368" t="s">
        <v>112</v>
      </c>
      <c r="N70" s="370" t="s">
        <v>112</v>
      </c>
      <c r="R70" s="599"/>
      <c r="S70" s="617"/>
      <c r="T70" s="511"/>
      <c r="U70" s="512"/>
      <c r="V70" s="175"/>
      <c r="W70" s="175"/>
      <c r="X70" s="175"/>
      <c r="Y70" s="175"/>
      <c r="Z70" s="175"/>
      <c r="AA70" s="175"/>
      <c r="AB70" s="347"/>
    </row>
    <row r="71" spans="1:28" s="606" customFormat="1" ht="21" customHeight="1" x14ac:dyDescent="0.25">
      <c r="A71" s="362" t="s">
        <v>116</v>
      </c>
      <c r="B71" s="607"/>
      <c r="C71" s="371">
        <f>2*(SQRT(Balanza!$B$9+Balanza!$C$9*(POWER(B69,2))))</f>
        <v>1.3311649033834989E-2</v>
      </c>
      <c r="D71" s="372" t="s">
        <v>239</v>
      </c>
      <c r="E71" s="367">
        <f>C71/2</f>
        <v>6.6558245169174943E-3</v>
      </c>
      <c r="F71" s="368" t="s">
        <v>112</v>
      </c>
      <c r="G71" s="403" t="s">
        <v>112</v>
      </c>
      <c r="H71" s="362" t="s">
        <v>116</v>
      </c>
      <c r="I71" s="607"/>
      <c r="J71" s="371">
        <f>2*(SQRT(Balanza!$B$9+Balanza!$C$9*(POWER(I69,2))))</f>
        <v>1.3311649033834989E-2</v>
      </c>
      <c r="K71" s="372" t="s">
        <v>239</v>
      </c>
      <c r="L71" s="367">
        <f>J71/2</f>
        <v>6.6558245169174943E-3</v>
      </c>
      <c r="M71" s="368" t="s">
        <v>112</v>
      </c>
      <c r="N71" s="370" t="s">
        <v>112</v>
      </c>
      <c r="R71" s="599"/>
      <c r="S71" s="617"/>
      <c r="T71" s="511"/>
      <c r="U71" s="512"/>
      <c r="V71" s="175"/>
      <c r="W71" s="175"/>
      <c r="X71" s="175"/>
      <c r="Y71" s="175"/>
      <c r="Z71" s="175"/>
      <c r="AA71" s="175"/>
      <c r="AB71" s="347"/>
    </row>
    <row r="72" spans="1:28" s="606" customFormat="1" ht="21" customHeight="1" x14ac:dyDescent="0.25">
      <c r="A72" s="373" t="s">
        <v>117</v>
      </c>
      <c r="B72" s="607"/>
      <c r="C72" s="374" t="str">
        <f>Balanza!$B$11</f>
        <v>0.01</v>
      </c>
      <c r="D72" s="375" t="s">
        <v>240</v>
      </c>
      <c r="E72" s="367" t="e">
        <f>C72/SQRT(3)/2</f>
        <v>#VALUE!</v>
      </c>
      <c r="F72" s="368" t="s">
        <v>112</v>
      </c>
      <c r="G72" s="403" t="s">
        <v>112</v>
      </c>
      <c r="H72" s="373" t="s">
        <v>117</v>
      </c>
      <c r="I72" s="607"/>
      <c r="J72" s="374" t="str">
        <f>Balanza!$B$11</f>
        <v>0.01</v>
      </c>
      <c r="K72" s="375" t="s">
        <v>240</v>
      </c>
      <c r="L72" s="367" t="e">
        <f>J72/SQRT(3)/2</f>
        <v>#VALUE!</v>
      </c>
      <c r="M72" s="368" t="s">
        <v>112</v>
      </c>
      <c r="N72" s="370" t="s">
        <v>112</v>
      </c>
      <c r="R72" s="599"/>
      <c r="S72" s="617"/>
      <c r="T72" s="511"/>
      <c r="U72" s="512"/>
      <c r="V72" s="175"/>
      <c r="W72" s="175"/>
      <c r="X72" s="175"/>
      <c r="Y72" s="175"/>
      <c r="Z72" s="175"/>
      <c r="AA72" s="175"/>
      <c r="AB72" s="347"/>
    </row>
    <row r="73" spans="1:28" s="606" customFormat="1" ht="21" customHeight="1" thickBot="1" x14ac:dyDescent="0.3">
      <c r="A73" s="408" t="s">
        <v>143</v>
      </c>
      <c r="B73" s="409">
        <f>+Precision!H6</f>
        <v>0.37576292762562136</v>
      </c>
      <c r="C73" s="410">
        <f>+B73</f>
        <v>0.37576292762562136</v>
      </c>
      <c r="D73" s="411"/>
      <c r="E73" s="412">
        <f>+C73</f>
        <v>0.37576292762562136</v>
      </c>
      <c r="F73" s="413">
        <v>1</v>
      </c>
      <c r="G73" s="402">
        <f>+E73*F73</f>
        <v>0.37576292762562136</v>
      </c>
      <c r="H73" s="408" t="s">
        <v>143</v>
      </c>
      <c r="I73" s="409">
        <f>+B73</f>
        <v>0.37576292762562136</v>
      </c>
      <c r="J73" s="586">
        <f>+I73</f>
        <v>0.37576292762562136</v>
      </c>
      <c r="K73" s="411"/>
      <c r="L73" s="412">
        <f>+J73</f>
        <v>0.37576292762562136</v>
      </c>
      <c r="M73" s="413">
        <v>1</v>
      </c>
      <c r="N73" s="416">
        <f>+L73*M73</f>
        <v>0.37576292762562136</v>
      </c>
      <c r="R73" s="599"/>
      <c r="S73" s="617"/>
      <c r="T73" s="511"/>
      <c r="U73" s="512"/>
      <c r="V73" s="175"/>
      <c r="W73" s="175"/>
      <c r="X73" s="175"/>
      <c r="Y73" s="175"/>
      <c r="Z73" s="175"/>
      <c r="AA73" s="175"/>
      <c r="AB73" s="347"/>
    </row>
    <row r="74" spans="1:28" s="606" customFormat="1" ht="24" customHeight="1" thickBot="1" x14ac:dyDescent="0.3">
      <c r="A74" s="381" t="s">
        <v>142</v>
      </c>
      <c r="B74" s="382"/>
      <c r="C74" s="382"/>
      <c r="D74" s="382"/>
      <c r="E74" s="382"/>
      <c r="F74" s="382"/>
      <c r="G74" s="383" t="e">
        <f>+SQRT(G61*G61+G65*G65+G69*G69+G73*G73)</f>
        <v>#VALUE!</v>
      </c>
      <c r="H74" s="612"/>
      <c r="I74" s="613"/>
      <c r="J74" s="587"/>
      <c r="K74" s="613"/>
      <c r="L74" s="613"/>
      <c r="M74" s="613"/>
      <c r="N74" s="437" t="e">
        <f>+SQRT(N61*N61+N65*N65+N69*N69+N73*N73)</f>
        <v>#VALUE!</v>
      </c>
      <c r="R74" s="347"/>
      <c r="S74" s="347"/>
      <c r="T74" s="618"/>
      <c r="U74" s="619"/>
      <c r="V74" s="347"/>
      <c r="W74" s="347"/>
      <c r="X74" s="347"/>
      <c r="Y74" s="347"/>
      <c r="Z74" s="347"/>
      <c r="AA74" s="347"/>
      <c r="AB74" s="347"/>
    </row>
    <row r="75" spans="1:28" s="606" customFormat="1" ht="24" customHeight="1" thickBot="1" x14ac:dyDescent="0.3">
      <c r="A75" s="384" t="s">
        <v>243</v>
      </c>
      <c r="B75" s="385"/>
      <c r="C75" s="385"/>
      <c r="D75" s="385"/>
      <c r="E75" s="385"/>
      <c r="F75" s="419" t="s">
        <v>110</v>
      </c>
      <c r="G75" s="407" t="e">
        <f>MAX(G74:N74)*2</f>
        <v>#VALUE!</v>
      </c>
      <c r="I75" s="347"/>
      <c r="J75" s="347"/>
      <c r="K75" s="347"/>
      <c r="L75" s="347"/>
      <c r="M75" s="347"/>
      <c r="N75" s="347"/>
    </row>
    <row r="76" spans="1:28" s="606" customFormat="1" ht="24" customHeight="1" x14ac:dyDescent="0.25">
      <c r="A76" s="347"/>
      <c r="B76" s="347"/>
      <c r="C76" s="347"/>
      <c r="D76" s="347"/>
      <c r="E76" s="347"/>
      <c r="F76" s="347"/>
      <c r="G76" s="347"/>
      <c r="H76" s="347"/>
      <c r="I76" s="620"/>
      <c r="J76" s="347"/>
      <c r="K76" s="347"/>
      <c r="L76" s="347"/>
      <c r="M76" s="347"/>
      <c r="N76" s="441"/>
    </row>
    <row r="77" spans="1:28" s="606" customFormat="1" ht="24" customHeight="1" x14ac:dyDescent="0.25">
      <c r="A77" s="414" t="s">
        <v>194</v>
      </c>
      <c r="B77" s="344" t="s">
        <v>120</v>
      </c>
      <c r="C77" s="359" t="s">
        <v>195</v>
      </c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441"/>
    </row>
    <row r="78" spans="1:28" s="606" customFormat="1" ht="24" customHeight="1" x14ac:dyDescent="0.25">
      <c r="A78" s="621" t="str">
        <f>A61</f>
        <v>M. Humeda</v>
      </c>
      <c r="B78" s="360" t="e">
        <f>G61</f>
        <v>#VALUE!</v>
      </c>
      <c r="C78" s="243" t="e">
        <f>B78*100/$B$82</f>
        <v>#VALUE!</v>
      </c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441"/>
    </row>
    <row r="79" spans="1:28" s="606" customFormat="1" ht="24" customHeight="1" x14ac:dyDescent="0.25">
      <c r="A79" s="621" t="str">
        <f>A65</f>
        <v>M. Seca</v>
      </c>
      <c r="B79" s="360" t="e">
        <f>G65</f>
        <v>#VALUE!</v>
      </c>
      <c r="C79" s="243" t="e">
        <f>B79*100/$B$82</f>
        <v>#VALUE!</v>
      </c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441"/>
    </row>
    <row r="80" spans="1:28" s="606" customFormat="1" ht="24" customHeight="1" x14ac:dyDescent="0.25">
      <c r="A80" s="621" t="str">
        <f>A69</f>
        <v>M. tara</v>
      </c>
      <c r="B80" s="360" t="e">
        <f>G69</f>
        <v>#VALUE!</v>
      </c>
      <c r="C80" s="243" t="e">
        <f>B80*100/$B$82</f>
        <v>#VALUE!</v>
      </c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441"/>
    </row>
    <row r="81" spans="1:14" s="606" customFormat="1" ht="24" customHeight="1" x14ac:dyDescent="0.25">
      <c r="A81" s="621" t="str">
        <f>A73</f>
        <v>F presicion</v>
      </c>
      <c r="B81" s="360">
        <f>G73</f>
        <v>0.37576292762562136</v>
      </c>
      <c r="C81" s="243" t="e">
        <f>B81*100/$B$82</f>
        <v>#VALUE!</v>
      </c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441"/>
    </row>
    <row r="82" spans="1:14" ht="14.25" customHeight="1" x14ac:dyDescent="0.25">
      <c r="A82" s="622"/>
      <c r="B82" s="623" t="e">
        <f>SUM(B78:B81)</f>
        <v>#VALUE!</v>
      </c>
      <c r="C82" s="624" t="e">
        <f>SUM(C78:C81)</f>
        <v>#VALUE!</v>
      </c>
    </row>
    <row r="83" spans="1:14" ht="14.25" customHeight="1" x14ac:dyDescent="0.25"/>
    <row r="84" spans="1:14" ht="14.25" customHeight="1" x14ac:dyDescent="0.25"/>
    <row r="85" spans="1:14" ht="14.25" customHeight="1" x14ac:dyDescent="0.25"/>
    <row r="86" spans="1:14" ht="14.25" customHeight="1" x14ac:dyDescent="0.25"/>
    <row r="87" spans="1:14" ht="14.25" customHeight="1" x14ac:dyDescent="0.25"/>
    <row r="88" spans="1:14" ht="14.25" customHeight="1" x14ac:dyDescent="0.25"/>
    <row r="89" spans="1:14" ht="14.25" customHeight="1" x14ac:dyDescent="0.25"/>
    <row r="90" spans="1:14" ht="14.25" customHeight="1" thickBot="1" x14ac:dyDescent="0.3">
      <c r="A90" s="415" t="s">
        <v>337</v>
      </c>
      <c r="B90" s="415"/>
      <c r="C90" s="415"/>
      <c r="D90" s="415"/>
      <c r="E90" s="415"/>
      <c r="F90" s="415"/>
      <c r="G90" s="415"/>
    </row>
    <row r="91" spans="1:14" ht="29.4" thickBot="1" x14ac:dyDescent="0.3">
      <c r="A91" s="386" t="s">
        <v>121</v>
      </c>
      <c r="B91" s="387" t="s">
        <v>120</v>
      </c>
      <c r="C91" s="388" t="s">
        <v>167</v>
      </c>
      <c r="D91" s="388" t="s">
        <v>168</v>
      </c>
      <c r="E91" s="389" t="s">
        <v>241</v>
      </c>
      <c r="F91" s="389" t="s">
        <v>119</v>
      </c>
      <c r="G91" s="390" t="s">
        <v>242</v>
      </c>
    </row>
    <row r="92" spans="1:14" ht="20.25" customHeight="1" x14ac:dyDescent="0.25">
      <c r="A92" s="376" t="s">
        <v>261</v>
      </c>
      <c r="B92" s="377" t="e">
        <f>+B93-B94</f>
        <v>#VALUE!</v>
      </c>
      <c r="C92" s="604"/>
      <c r="D92" s="378" t="s">
        <v>112</v>
      </c>
      <c r="E92" s="379"/>
      <c r="F92" s="379"/>
      <c r="G92" s="380"/>
    </row>
    <row r="93" spans="1:14" ht="24" customHeight="1" x14ac:dyDescent="0.25">
      <c r="A93" s="590" t="s">
        <v>262</v>
      </c>
      <c r="B93" s="591" t="str">
        <f>+'INFORME LIMITE'!L32</f>
        <v/>
      </c>
      <c r="C93" s="625"/>
      <c r="D93" s="592" t="s">
        <v>112</v>
      </c>
      <c r="E93" s="593" t="e">
        <f>+N55</f>
        <v>#VALUE!</v>
      </c>
      <c r="F93" s="596">
        <v>1</v>
      </c>
      <c r="G93" s="595" t="e">
        <f>+E93*F93</f>
        <v>#VALUE!</v>
      </c>
    </row>
    <row r="94" spans="1:14" ht="25.5" customHeight="1" thickBot="1" x14ac:dyDescent="0.3">
      <c r="A94" s="590" t="s">
        <v>263</v>
      </c>
      <c r="B94" s="591" t="str">
        <f>+'INFORME LIMITE'!L34</f>
        <v/>
      </c>
      <c r="C94" s="625"/>
      <c r="D94" s="594" t="s">
        <v>112</v>
      </c>
      <c r="E94" s="593" t="e">
        <f>+MAX(G74:N74)</f>
        <v>#VALUE!</v>
      </c>
      <c r="F94" s="596">
        <v>1</v>
      </c>
      <c r="G94" s="595" t="e">
        <f>+E94*F94</f>
        <v>#VALUE!</v>
      </c>
    </row>
    <row r="95" spans="1:14" ht="25.5" customHeight="1" thickBot="1" x14ac:dyDescent="0.3">
      <c r="A95" s="381" t="s">
        <v>142</v>
      </c>
      <c r="B95" s="382"/>
      <c r="C95" s="382"/>
      <c r="D95" s="382"/>
      <c r="E95" s="382"/>
      <c r="F95" s="382"/>
      <c r="G95" s="383" t="e">
        <f>+SQRT(G93*G93+G94*G94)</f>
        <v>#VALUE!</v>
      </c>
    </row>
    <row r="96" spans="1:14" ht="25.5" customHeight="1" thickBot="1" x14ac:dyDescent="0.3">
      <c r="A96" s="384" t="s">
        <v>243</v>
      </c>
      <c r="B96" s="385"/>
      <c r="C96" s="385"/>
      <c r="D96" s="385"/>
      <c r="E96" s="385"/>
      <c r="F96" s="419" t="s">
        <v>110</v>
      </c>
      <c r="G96" s="407" t="e">
        <f>+G95*2</f>
        <v>#VALUE!</v>
      </c>
    </row>
    <row r="97" spans="1:8" ht="25.5" customHeight="1" x14ac:dyDescent="0.25"/>
    <row r="98" spans="1:8" ht="25.5" customHeight="1" x14ac:dyDescent="0.25">
      <c r="A98" s="777" t="s">
        <v>331</v>
      </c>
      <c r="B98" s="933" t="s">
        <v>332</v>
      </c>
      <c r="C98" s="934"/>
      <c r="D98" s="778"/>
      <c r="E98" s="935" t="s">
        <v>333</v>
      </c>
      <c r="F98" s="935"/>
      <c r="G98" s="936" t="s">
        <v>334</v>
      </c>
      <c r="H98" s="937"/>
    </row>
    <row r="99" spans="1:8" ht="25.5" customHeight="1" x14ac:dyDescent="0.25"/>
    <row r="100" spans="1:8" ht="25.5" customHeight="1" x14ac:dyDescent="0.25">
      <c r="A100" s="779" t="s">
        <v>335</v>
      </c>
      <c r="B100" s="938">
        <v>44869</v>
      </c>
      <c r="C100" s="939"/>
      <c r="E100" s="940" t="s">
        <v>336</v>
      </c>
      <c r="F100" s="940"/>
      <c r="G100" s="938">
        <v>44870</v>
      </c>
      <c r="H100" s="939"/>
    </row>
    <row r="101" spans="1:8" ht="25.5" customHeight="1" x14ac:dyDescent="0.25"/>
    <row r="102" spans="1:8" ht="25.5" customHeight="1" x14ac:dyDescent="0.25"/>
    <row r="103" spans="1:8" ht="15.75" customHeight="1" x14ac:dyDescent="0.25"/>
    <row r="104" spans="1:8" ht="15.75" customHeight="1" x14ac:dyDescent="0.25"/>
    <row r="105" spans="1:8" ht="15.75" customHeight="1" x14ac:dyDescent="0.25"/>
    <row r="106" spans="1:8" ht="15.75" customHeight="1" x14ac:dyDescent="0.25"/>
    <row r="107" spans="1:8" ht="15.75" customHeight="1" x14ac:dyDescent="0.25"/>
    <row r="108" spans="1:8" ht="15.75" customHeight="1" x14ac:dyDescent="0.25"/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</sheetData>
  <sheetProtection algorithmName="SHA-512" hashValue="yj1Q4POqsS+BItIwn4qHABWw1xNpM9k/x6s8l1aq2iCEVDP7XVIbdyYfunz4A56uowKAm9Bthzel/WKcrQhnQg==" saltValue="/l5IFDo6bw6XjEz06NlXtw==" spinCount="100000" sheet="1" objects="1" scenarios="1" selectLockedCells="1" selectUnlockedCells="1"/>
  <mergeCells count="9">
    <mergeCell ref="A1:A4"/>
    <mergeCell ref="B98:C98"/>
    <mergeCell ref="E98:F98"/>
    <mergeCell ref="G98:H98"/>
    <mergeCell ref="B100:C100"/>
    <mergeCell ref="E100:F100"/>
    <mergeCell ref="G100:H100"/>
    <mergeCell ref="B9:J9"/>
    <mergeCell ref="B1:H4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100" r:id="rId4">
          <objectPr defaultSize="0" autoPict="0" r:id="rId5">
            <anchor moveWithCells="1">
              <from>
                <xdr:col>3</xdr:col>
                <xdr:colOff>678180</xdr:colOff>
                <xdr:row>13</xdr:row>
                <xdr:rowOff>106680</xdr:rowOff>
              </from>
              <to>
                <xdr:col>5</xdr:col>
                <xdr:colOff>426720</xdr:colOff>
                <xdr:row>17</xdr:row>
                <xdr:rowOff>0</xdr:rowOff>
              </to>
            </anchor>
          </objectPr>
        </oleObject>
      </mc:Choice>
      <mc:Fallback>
        <oleObject progId="Equation.3" shapeId="410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K55"/>
  <sheetViews>
    <sheetView topLeftCell="A4" zoomScaleNormal="100" workbookViewId="0">
      <selection activeCell="F17" sqref="F17"/>
    </sheetView>
  </sheetViews>
  <sheetFormatPr baseColWidth="10" defaultColWidth="11.44140625" defaultRowHeight="13.2" x14ac:dyDescent="0.25"/>
  <cols>
    <col min="1" max="1" width="17.44140625" style="176" customWidth="1"/>
    <col min="2" max="11" width="13" style="176" customWidth="1"/>
    <col min="12" max="16384" width="11.44140625" style="176"/>
  </cols>
  <sheetData>
    <row r="6" spans="1:6" x14ac:dyDescent="0.25">
      <c r="A6" s="464" t="s">
        <v>135</v>
      </c>
    </row>
    <row r="7" spans="1:6" x14ac:dyDescent="0.25">
      <c r="B7" s="465"/>
      <c r="C7" s="465"/>
    </row>
    <row r="8" spans="1:6" x14ac:dyDescent="0.25">
      <c r="A8" s="774" t="s">
        <v>200</v>
      </c>
      <c r="B8" s="643">
        <v>3.7900000000000001E-6</v>
      </c>
    </row>
    <row r="9" spans="1:6" x14ac:dyDescent="0.25">
      <c r="A9" s="336" t="s">
        <v>134</v>
      </c>
      <c r="B9" s="643">
        <v>4.4299999999999999E-5</v>
      </c>
      <c r="C9" s="643">
        <v>2.3000000000000001E-10</v>
      </c>
    </row>
    <row r="10" spans="1:6" x14ac:dyDescent="0.25">
      <c r="A10" s="336" t="s">
        <v>323</v>
      </c>
      <c r="B10" s="466" t="s">
        <v>324</v>
      </c>
      <c r="C10" s="467"/>
    </row>
    <row r="11" spans="1:6" x14ac:dyDescent="0.25">
      <c r="A11" s="336" t="s">
        <v>117</v>
      </c>
      <c r="B11" s="466" t="s">
        <v>145</v>
      </c>
      <c r="C11" s="467"/>
    </row>
    <row r="12" spans="1:6" x14ac:dyDescent="0.25">
      <c r="A12" s="336" t="s">
        <v>325</v>
      </c>
      <c r="B12" s="467" t="s">
        <v>114</v>
      </c>
    </row>
    <row r="13" spans="1:6" x14ac:dyDescent="0.25">
      <c r="A13" s="336" t="s">
        <v>326</v>
      </c>
      <c r="B13" s="123"/>
      <c r="C13" s="775">
        <v>46132</v>
      </c>
    </row>
    <row r="14" spans="1:6" x14ac:dyDescent="0.25">
      <c r="A14" s="338" t="s">
        <v>272</v>
      </c>
      <c r="B14" s="337" t="s">
        <v>246</v>
      </c>
      <c r="C14" s="338">
        <v>20</v>
      </c>
      <c r="D14" s="338">
        <v>200</v>
      </c>
      <c r="E14" s="338">
        <v>500</v>
      </c>
      <c r="F14" s="338">
        <v>1000</v>
      </c>
    </row>
    <row r="15" spans="1:6" x14ac:dyDescent="0.25">
      <c r="A15" s="642">
        <v>1</v>
      </c>
      <c r="B15" s="640"/>
      <c r="C15" s="631"/>
      <c r="D15" s="631"/>
      <c r="E15" s="631"/>
      <c r="F15" s="343"/>
    </row>
    <row r="17" spans="1:11" x14ac:dyDescent="0.25">
      <c r="A17" s="345">
        <f>COUNT(A15:A15)</f>
        <v>1</v>
      </c>
      <c r="B17" s="346" t="s">
        <v>133</v>
      </c>
      <c r="C17" s="339">
        <v>0</v>
      </c>
      <c r="D17" s="339">
        <v>0</v>
      </c>
      <c r="E17" s="339">
        <v>0</v>
      </c>
      <c r="F17" s="339">
        <v>0</v>
      </c>
    </row>
    <row r="19" spans="1:11" x14ac:dyDescent="0.25">
      <c r="B19" s="953" t="s">
        <v>132</v>
      </c>
      <c r="C19" s="953"/>
      <c r="D19" s="953"/>
      <c r="E19" s="953"/>
    </row>
    <row r="20" spans="1:11" x14ac:dyDescent="0.25">
      <c r="A20" s="328"/>
      <c r="B20" s="958"/>
      <c r="C20" s="958"/>
      <c r="D20" s="958"/>
    </row>
    <row r="21" spans="1:11" ht="15.75" customHeight="1" x14ac:dyDescent="0.25">
      <c r="B21" s="236"/>
      <c r="C21" s="337">
        <f>+C14</f>
        <v>20</v>
      </c>
      <c r="D21" s="337">
        <f>+D14</f>
        <v>200</v>
      </c>
      <c r="E21" s="337">
        <f>+E14</f>
        <v>500</v>
      </c>
      <c r="F21" s="337">
        <v>1000</v>
      </c>
    </row>
    <row r="22" spans="1:11" ht="14.4" x14ac:dyDescent="0.25">
      <c r="A22" s="347"/>
      <c r="B22" s="348"/>
      <c r="C22" s="339">
        <f>C17</f>
        <v>0</v>
      </c>
      <c r="D22" s="339">
        <f>D17</f>
        <v>0</v>
      </c>
      <c r="E22" s="339">
        <f>E17</f>
        <v>0</v>
      </c>
      <c r="F22" s="339">
        <f>F17</f>
        <v>0</v>
      </c>
    </row>
    <row r="23" spans="1:11" ht="14.4" x14ac:dyDescent="0.25">
      <c r="A23" s="347"/>
      <c r="B23" s="348"/>
      <c r="C23" s="349"/>
      <c r="D23" s="349"/>
      <c r="F23" s="347"/>
      <c r="G23" s="347"/>
      <c r="H23" s="347"/>
    </row>
    <row r="24" spans="1:11" ht="15" customHeight="1" x14ac:dyDescent="0.25">
      <c r="A24" s="340"/>
      <c r="B24" s="963" t="s">
        <v>75</v>
      </c>
      <c r="C24" s="964"/>
      <c r="D24" s="964"/>
      <c r="E24" s="964"/>
      <c r="F24" s="964"/>
      <c r="G24" s="965"/>
      <c r="H24" s="963" t="s">
        <v>144</v>
      </c>
      <c r="I24" s="964"/>
      <c r="J24" s="964"/>
      <c r="K24" s="965"/>
    </row>
    <row r="25" spans="1:11" ht="15" customHeight="1" x14ac:dyDescent="0.25">
      <c r="A25" s="353" t="s">
        <v>26</v>
      </c>
      <c r="B25" s="474">
        <f>+DATOS!D16</f>
        <v>0</v>
      </c>
      <c r="C25" s="475"/>
      <c r="D25" s="474">
        <f>+DATOS!F16</f>
        <v>0</v>
      </c>
      <c r="F25" s="342">
        <f>+DATOS!H16</f>
        <v>0</v>
      </c>
      <c r="H25" s="341"/>
      <c r="J25" s="342"/>
      <c r="K25" s="346"/>
    </row>
    <row r="26" spans="1:11" ht="15" customHeight="1" x14ac:dyDescent="0.25">
      <c r="A26" s="353" t="s">
        <v>28</v>
      </c>
      <c r="B26" s="473">
        <f>DATOS!D17</f>
        <v>0</v>
      </c>
      <c r="C26" s="339">
        <f>IF(B26&lt;=$C$21,$C$22,IF(AND(B26&gt;$C$21,B26&lt;=$D$21),$D$22,IF(AND(B26&gt;$D$21,B26&lt;=$E$21),$E$22,IF(AND(B26&gt;$E$21,B26&lt;=$F$21),$F$22,IF(AND(B26&gt;$F$21,B26&lt;=$G$21),$G$22,IF(AND(B26&gt;$G$22,B26&lt;=$H$21),$H$22,IF(AND(B26&gt;$H$22,B26&lt;=$I$21),$I$22,IF(AND(B26&gt;$I$21,B26&lt;=$J$21),$J$22,IF(AND(B26&gt;$J$21,B26&lt;=$K$21),$K$22,$K$22)))))))))</f>
        <v>0</v>
      </c>
      <c r="D26" s="473">
        <f>DATOS!F17</f>
        <v>0</v>
      </c>
      <c r="E26" s="339">
        <f>IF(D26&lt;=$C$21,$C$22,IF(AND(D26&gt;$C$21,D26&lt;=$D$21),$D$22,IF(AND(D26&gt;$D$21,D26&lt;=$E$21),$E$22,IF(AND(D26&gt;$E$21,D26&lt;=$F$21),$F$22,IF(AND(D26&gt;$F$21,D26&lt;=$G$21),$G$22,IF(AND(D26&gt;$G$22,D26&lt;=$H$21),$H$22,IF(AND(D26&gt;$H$22,D26&lt;=$I$21),$I$22,IF(AND(D26&gt;$I$21,D26&lt;=$J$21),$J$22,IF(AND(D26&gt;$J$21,D26&lt;=$K$21),$K$22,$K$22)))))))))</f>
        <v>0</v>
      </c>
      <c r="F26" s="473">
        <f>DATOS!H17</f>
        <v>0</v>
      </c>
      <c r="G26" s="339">
        <f>IF(F26&lt;=$C$21,$C$22,IF(AND(F26&gt;$C$21,F26&lt;=$D$21),$D$22,IF(AND(F26&gt;$D$21,F26&lt;=$E$21),$E$22,IF(AND(F26&gt;$E$21,F26&lt;=$F$21),$F$22,IF(AND(F26&gt;$F$21,F26&lt;=$G$21),$G$22,IF(AND(F26&gt;$G$22,F26&lt;=$H$21),$H$22,IF(AND(F26&gt;$H$22,F26&lt;=$I$21),$I$22,IF(AND(F26&gt;$I$21,F26&lt;=$J$21),$J$22,IF(AND(F26&gt;$J$21,F26&lt;=$K$21),$K$22,$K$22)))))))))</f>
        <v>0</v>
      </c>
      <c r="H26" s="352">
        <f>DATOS!J17</f>
        <v>0</v>
      </c>
      <c r="I26" s="339">
        <f>IF(H26&lt;=$C$21,$C$22,IF(AND(H26&gt;$C$21,H26&lt;=$D$21),$D$22,IF(AND(H26&gt;$D$21,H26&lt;=$E$21),$E$22,IF(AND(H26&gt;$E$21,H26&lt;=$F$21),$F$22,IF(AND(H26&gt;$F$21,H26&lt;=$G$21),$G$22,IF(AND(H26&gt;$G$22,H26&lt;=$H$21),$H$22,IF(AND(H26&gt;$H$22,H26&lt;=$I$21),$I$22,IF(AND(H26&gt;$I$21,H26&lt;=$J$21),$J$22,IF(AND(H26&gt;$J$21,H26&lt;=$K$21),$K$22,$K$22)))))))))</f>
        <v>0</v>
      </c>
      <c r="J26" s="473">
        <f>DATOS!L17</f>
        <v>0</v>
      </c>
      <c r="K26" s="339">
        <f>IF(J26&lt;=$C$21,$C$22,IF(AND(J26&gt;$C$21,J26&lt;=$D$21),$D$22,IF(AND(J26&gt;$D$21,J26&lt;=$E$21),$E$22,IF(AND(J26&gt;$E$21,J26&lt;=$F$21),$F$22,IF(AND(J26&gt;$F$21,J26&lt;=$G$21),$G$22,IF(AND(J26&gt;$G$22,J26&lt;=$H$21),$H$22,IF(AND(J26&gt;$H$22,J26&lt;=$I$21),$I$22,IF(AND(J26&gt;$I$21,J26&lt;=$J$21),$J$22,IF(AND(J26&gt;$J$21,J26&lt;=$K$21),$K$22,$K$22)))))))))</f>
        <v>0</v>
      </c>
    </row>
    <row r="27" spans="1:11" ht="15" customHeight="1" x14ac:dyDescent="0.25">
      <c r="A27" s="353" t="s">
        <v>51</v>
      </c>
      <c r="B27" s="473">
        <f>DATOS!D19</f>
        <v>0</v>
      </c>
      <c r="C27" s="339">
        <f t="shared" ref="C27:E28" si="0">IF(B27&lt;=$C$21,$C$22,IF(AND(B27&gt;$C$21,B27&lt;=$D$21),$D$22,IF(AND(B27&gt;$D$21,B27&lt;=$E$21),$E$22,IF(AND(B27&gt;$E$21,B27&lt;=$F$21),$F$22,IF(AND(B27&gt;$F$21,B27&lt;=$G$21),$G$22,IF(AND(B27&gt;$G$22,B27&lt;=$H$21),$H$22,IF(AND(B27&gt;$H$22,B27&lt;=$I$21),$I$22,IF(AND(B27&gt;$I$21,B27&lt;=$J$21),$J$22,IF(AND(B27&gt;$J$21,B27&lt;=$K$21),$K$22,$K$22)))))))))</f>
        <v>0</v>
      </c>
      <c r="D27" s="473">
        <f>DATOS!F19</f>
        <v>0</v>
      </c>
      <c r="E27" s="339">
        <f t="shared" si="0"/>
        <v>0</v>
      </c>
      <c r="F27" s="473">
        <f>DATOS!H19</f>
        <v>0</v>
      </c>
      <c r="G27" s="339">
        <f t="shared" ref="G27" si="1">IF(F27&lt;=$C$21,$C$22,IF(AND(F27&gt;$C$21,F27&lt;=$D$21),$D$22,IF(AND(F27&gt;$D$21,F27&lt;=$E$21),$E$22,IF(AND(F27&gt;$E$21,F27&lt;=$F$21),$F$22,IF(AND(F27&gt;$F$21,F27&lt;=$G$21),$G$22,IF(AND(F27&gt;$G$22,F27&lt;=$H$21),$H$22,IF(AND(F27&gt;$H$22,F27&lt;=$I$21),$I$22,IF(AND(F27&gt;$I$21,F27&lt;=$J$21),$J$22,IF(AND(F27&gt;$J$21,F27&lt;=$K$21),$K$22,$K$22)))))))))</f>
        <v>0</v>
      </c>
      <c r="H27" s="352">
        <f>DATOS!J19</f>
        <v>0</v>
      </c>
      <c r="I27" s="339">
        <f t="shared" ref="I27" si="2">IF(H27&lt;=$C$21,$C$22,IF(AND(H27&gt;$C$21,H27&lt;=$D$21),$D$22,IF(AND(H27&gt;$D$21,H27&lt;=$E$21),$E$22,IF(AND(H27&gt;$E$21,H27&lt;=$F$21),$F$22,IF(AND(H27&gt;$F$21,H27&lt;=$G$21),$G$22,IF(AND(H27&gt;$G$22,H27&lt;=$H$21),$H$22,IF(AND(H27&gt;$H$22,H27&lt;=$I$21),$I$22,IF(AND(H27&gt;$I$21,H27&lt;=$J$21),$J$22,IF(AND(H27&gt;$J$21,H27&lt;=$K$21),$K$22,$K$22)))))))))</f>
        <v>0</v>
      </c>
      <c r="J27" s="473">
        <f>DATOS!L19</f>
        <v>0</v>
      </c>
      <c r="K27" s="339">
        <f t="shared" ref="K27" si="3">IF(J27&lt;=$C$21,$C$22,IF(AND(J27&gt;$C$21,J27&lt;=$D$21),$D$22,IF(AND(J27&gt;$D$21,J27&lt;=$E$21),$E$22,IF(AND(J27&gt;$E$21,J27&lt;=$F$21),$F$22,IF(AND(J27&gt;$F$21,J27&lt;=$G$21),$G$22,IF(AND(J27&gt;$G$22,J27&lt;=$H$21),$H$22,IF(AND(J27&gt;$H$22,J27&lt;=$I$21),$I$22,IF(AND(J27&gt;$I$21,J27&lt;=$J$21),$J$22,IF(AND(J27&gt;$J$21,J27&lt;=$K$21),$K$22,$K$22)))))))))</f>
        <v>0</v>
      </c>
    </row>
    <row r="28" spans="1:11" ht="15" customHeight="1" x14ac:dyDescent="0.25">
      <c r="A28" s="353" t="s">
        <v>30</v>
      </c>
      <c r="B28" s="473">
        <f>DATOS!D20</f>
        <v>0</v>
      </c>
      <c r="C28" s="339">
        <f t="shared" si="0"/>
        <v>0</v>
      </c>
      <c r="D28" s="473">
        <f>DATOS!F20</f>
        <v>0</v>
      </c>
      <c r="E28" s="339">
        <f t="shared" si="0"/>
        <v>0</v>
      </c>
      <c r="F28" s="473">
        <f>DATOS!H20</f>
        <v>0</v>
      </c>
      <c r="G28" s="339">
        <f t="shared" ref="G28" si="4">IF(F28&lt;=$C$21,$C$22,IF(AND(F28&gt;$C$21,F28&lt;=$D$21),$D$22,IF(AND(F28&gt;$D$21,F28&lt;=$E$21),$E$22,IF(AND(F28&gt;$E$21,F28&lt;=$F$21),$F$22,IF(AND(F28&gt;$F$21,F28&lt;=$G$21),$G$22,IF(AND(F28&gt;$G$22,F28&lt;=$H$21),$H$22,IF(AND(F28&gt;$H$22,F28&lt;=$I$21),$I$22,IF(AND(F28&gt;$I$21,F28&lt;=$J$21),$J$22,IF(AND(F28&gt;$J$21,F28&lt;=$K$21),$K$22,$K$22)))))))))</f>
        <v>0</v>
      </c>
      <c r="H28" s="352">
        <f>DATOS!J20</f>
        <v>0</v>
      </c>
      <c r="I28" s="339">
        <f t="shared" ref="I28" si="5">IF(H28&lt;=$C$21,$C$22,IF(AND(H28&gt;$C$21,H28&lt;=$D$21),$D$22,IF(AND(H28&gt;$D$21,H28&lt;=$E$21),$E$22,IF(AND(H28&gt;$E$21,H28&lt;=$F$21),$F$22,IF(AND(H28&gt;$F$21,H28&lt;=$G$21),$G$22,IF(AND(H28&gt;$G$22,H28&lt;=$H$21),$H$22,IF(AND(H28&gt;$H$22,H28&lt;=$I$21),$I$22,IF(AND(H28&gt;$I$21,H28&lt;=$J$21),$J$22,IF(AND(H28&gt;$J$21,H28&lt;=$K$21),$K$22,$K$22)))))))))</f>
        <v>0</v>
      </c>
      <c r="J28" s="473">
        <f>DATOS!L20</f>
        <v>0</v>
      </c>
      <c r="K28" s="339">
        <f t="shared" ref="K28" si="6">IF(J28&lt;=$C$21,$C$22,IF(AND(J28&gt;$C$21,J28&lt;=$D$21),$D$22,IF(AND(J28&gt;$D$21,J28&lt;=$E$21),$E$22,IF(AND(J28&gt;$E$21,J28&lt;=$F$21),$F$22,IF(AND(J28&gt;$F$21,J28&lt;=$G$21),$G$22,IF(AND(J28&gt;$G$22,J28&lt;=$H$21),$H$22,IF(AND(J28&gt;$H$22,J28&lt;=$I$21),$I$22,IF(AND(J28&gt;$I$21,J28&lt;=$J$21),$J$22,IF(AND(J28&gt;$J$21,J28&lt;=$K$21),$K$22,$K$22)))))))))</f>
        <v>0</v>
      </c>
    </row>
    <row r="29" spans="1:11" x14ac:dyDescent="0.25">
      <c r="A29" s="331"/>
      <c r="B29" s="330"/>
      <c r="C29" s="332"/>
      <c r="D29" s="330"/>
      <c r="F29" s="958"/>
      <c r="G29" s="958"/>
      <c r="H29" s="958"/>
      <c r="I29" s="958"/>
    </row>
    <row r="30" spans="1:11" x14ac:dyDescent="0.25">
      <c r="H30" s="350"/>
      <c r="I30" s="351"/>
    </row>
    <row r="31" spans="1:11" x14ac:dyDescent="0.25">
      <c r="A31" s="328"/>
      <c r="C31" s="959" t="s">
        <v>183</v>
      </c>
      <c r="D31" s="960"/>
      <c r="E31" s="961"/>
      <c r="G31" s="957" t="s">
        <v>190</v>
      </c>
      <c r="H31" s="957"/>
      <c r="I31" s="957"/>
      <c r="J31" s="957"/>
    </row>
    <row r="32" spans="1:11" x14ac:dyDescent="0.25">
      <c r="C32" s="335" t="s">
        <v>184</v>
      </c>
      <c r="D32" s="335" t="s">
        <v>186</v>
      </c>
      <c r="E32" s="335" t="s">
        <v>185</v>
      </c>
      <c r="G32" s="346" t="s">
        <v>191</v>
      </c>
      <c r="H32" s="472">
        <v>45485</v>
      </c>
      <c r="I32" s="342">
        <v>7.3000000000000001E-3</v>
      </c>
      <c r="J32" s="346" t="s">
        <v>271</v>
      </c>
    </row>
    <row r="33" spans="1:5" x14ac:dyDescent="0.25">
      <c r="A33" s="962"/>
      <c r="C33" s="469">
        <v>1</v>
      </c>
      <c r="D33" s="470">
        <v>13</v>
      </c>
      <c r="E33" s="469">
        <v>26</v>
      </c>
    </row>
    <row r="34" spans="1:5" x14ac:dyDescent="0.25">
      <c r="A34" s="962"/>
      <c r="C34" s="469">
        <v>2</v>
      </c>
      <c r="D34" s="470">
        <v>13</v>
      </c>
      <c r="E34" s="469">
        <v>26</v>
      </c>
    </row>
    <row r="35" spans="1:5" x14ac:dyDescent="0.25">
      <c r="A35" s="962"/>
      <c r="C35" s="469">
        <v>3</v>
      </c>
      <c r="D35" s="470">
        <v>13</v>
      </c>
      <c r="E35" s="469">
        <v>25</v>
      </c>
    </row>
    <row r="36" spans="1:5" x14ac:dyDescent="0.25">
      <c r="A36" s="962"/>
      <c r="C36" s="469">
        <v>4</v>
      </c>
      <c r="D36" s="470">
        <v>13</v>
      </c>
      <c r="E36" s="469">
        <v>26</v>
      </c>
    </row>
    <row r="37" spans="1:5" x14ac:dyDescent="0.25">
      <c r="A37" s="954"/>
      <c r="C37" s="469">
        <v>5</v>
      </c>
      <c r="D37" s="470">
        <v>13</v>
      </c>
      <c r="E37" s="469">
        <v>25</v>
      </c>
    </row>
    <row r="38" spans="1:5" x14ac:dyDescent="0.25">
      <c r="A38" s="954"/>
      <c r="C38" s="469">
        <v>6</v>
      </c>
      <c r="D38" s="470">
        <v>13</v>
      </c>
      <c r="E38" s="469">
        <v>26</v>
      </c>
    </row>
    <row r="39" spans="1:5" x14ac:dyDescent="0.25">
      <c r="A39" s="954"/>
      <c r="C39" s="469">
        <v>7</v>
      </c>
      <c r="D39" s="470">
        <v>13</v>
      </c>
      <c r="E39" s="469">
        <v>27</v>
      </c>
    </row>
    <row r="40" spans="1:5" x14ac:dyDescent="0.25">
      <c r="A40" s="954"/>
      <c r="C40" s="469">
        <v>8</v>
      </c>
      <c r="D40" s="470">
        <v>13</v>
      </c>
      <c r="E40" s="469">
        <v>25</v>
      </c>
    </row>
    <row r="41" spans="1:5" x14ac:dyDescent="0.25">
      <c r="A41" s="331"/>
      <c r="C41" s="469">
        <v>9</v>
      </c>
      <c r="D41" s="470">
        <v>13</v>
      </c>
      <c r="E41" s="469">
        <v>25</v>
      </c>
    </row>
    <row r="42" spans="1:5" x14ac:dyDescent="0.25">
      <c r="C42" s="469">
        <v>10</v>
      </c>
      <c r="D42" s="470">
        <v>13</v>
      </c>
      <c r="E42" s="469">
        <v>26</v>
      </c>
    </row>
    <row r="43" spans="1:5" x14ac:dyDescent="0.25">
      <c r="C43" s="469">
        <v>11</v>
      </c>
      <c r="D43" s="470">
        <v>13</v>
      </c>
      <c r="E43" s="469">
        <v>27</v>
      </c>
    </row>
    <row r="44" spans="1:5" x14ac:dyDescent="0.25">
      <c r="C44" s="469">
        <v>12</v>
      </c>
      <c r="D44" s="470">
        <v>13</v>
      </c>
      <c r="E44" s="469">
        <v>26</v>
      </c>
    </row>
    <row r="45" spans="1:5" x14ac:dyDescent="0.25">
      <c r="C45" s="469">
        <v>13</v>
      </c>
      <c r="D45" s="470">
        <v>13</v>
      </c>
      <c r="E45" s="469">
        <v>25</v>
      </c>
    </row>
    <row r="46" spans="1:5" x14ac:dyDescent="0.25">
      <c r="C46" s="469">
        <v>14</v>
      </c>
      <c r="D46" s="470">
        <v>13</v>
      </c>
      <c r="E46" s="469">
        <v>25</v>
      </c>
    </row>
    <row r="47" spans="1:5" x14ac:dyDescent="0.25">
      <c r="C47" s="469">
        <v>15</v>
      </c>
      <c r="D47" s="470">
        <v>13</v>
      </c>
      <c r="E47" s="469">
        <v>26</v>
      </c>
    </row>
    <row r="48" spans="1:5" x14ac:dyDescent="0.25">
      <c r="C48" s="469">
        <v>16</v>
      </c>
      <c r="D48" s="470">
        <v>13</v>
      </c>
      <c r="E48" s="469">
        <v>26</v>
      </c>
    </row>
    <row r="49" spans="2:5" x14ac:dyDescent="0.25">
      <c r="C49" s="469">
        <v>17</v>
      </c>
      <c r="D49" s="470">
        <v>13</v>
      </c>
      <c r="E49" s="469">
        <v>26</v>
      </c>
    </row>
    <row r="50" spans="2:5" x14ac:dyDescent="0.25">
      <c r="C50" s="469">
        <v>18</v>
      </c>
      <c r="D50" s="470">
        <v>13</v>
      </c>
      <c r="E50" s="469">
        <v>25</v>
      </c>
    </row>
    <row r="51" spans="2:5" x14ac:dyDescent="0.25">
      <c r="C51" s="469">
        <v>19</v>
      </c>
      <c r="D51" s="470">
        <v>13</v>
      </c>
      <c r="E51" s="469">
        <v>25</v>
      </c>
    </row>
    <row r="52" spans="2:5" x14ac:dyDescent="0.25">
      <c r="C52" s="469">
        <v>20</v>
      </c>
      <c r="D52" s="470">
        <v>13</v>
      </c>
      <c r="E52" s="469">
        <v>25</v>
      </c>
    </row>
    <row r="53" spans="2:5" x14ac:dyDescent="0.25">
      <c r="B53" s="469"/>
      <c r="C53" s="469"/>
      <c r="D53" s="470"/>
      <c r="E53" s="471"/>
    </row>
    <row r="54" spans="2:5" x14ac:dyDescent="0.25">
      <c r="B54" s="468">
        <f>COUNT(C33:C52)</f>
        <v>20</v>
      </c>
      <c r="C54" s="955" t="s">
        <v>187</v>
      </c>
      <c r="D54" s="956"/>
      <c r="E54" s="582">
        <f>+STDEV(E33:E53)</f>
        <v>0.67082039324993703</v>
      </c>
    </row>
    <row r="55" spans="2:5" x14ac:dyDescent="0.25">
      <c r="B55" s="957" t="s">
        <v>247</v>
      </c>
      <c r="C55" s="957"/>
      <c r="D55" s="957"/>
      <c r="E55" s="582">
        <f>E54/SQRT(B54)</f>
        <v>0.15000000000000002</v>
      </c>
    </row>
  </sheetData>
  <sheetProtection algorithmName="SHA-512" hashValue="taiq8DVJHSxCLmI1XkXqOwcabiMn3z7GmO0wm59uDObk1qpXUP7i4/Dm0bA3BVDslJqh6b0+plofm4CBngGYMA==" saltValue="Ntk3B+dnpi2lzw3mmLjHFQ==" spinCount="100000" sheet="1" objects="1" scenarios="1"/>
  <mergeCells count="11">
    <mergeCell ref="F29:I29"/>
    <mergeCell ref="A33:A36"/>
    <mergeCell ref="G31:J31"/>
    <mergeCell ref="B24:G24"/>
    <mergeCell ref="H24:K24"/>
    <mergeCell ref="B19:E19"/>
    <mergeCell ref="A37:A40"/>
    <mergeCell ref="C54:D54"/>
    <mergeCell ref="B55:D55"/>
    <mergeCell ref="B20:D20"/>
    <mergeCell ref="C31:E31"/>
  </mergeCells>
  <conditionalFormatting sqref="E53">
    <cfRule type="cellIs" priority="1" stopIfTrue="1" operator="between">
      <formula>1.9</formula>
      <formula>2.1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966" t="s">
        <v>10</v>
      </c>
      <c r="B2" s="966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3"/>
  <sheetViews>
    <sheetView zoomScaleNormal="100" workbookViewId="0">
      <selection activeCell="H34" sqref="H34"/>
    </sheetView>
  </sheetViews>
  <sheetFormatPr baseColWidth="10" defaultColWidth="11.44140625" defaultRowHeight="13.2" x14ac:dyDescent="0.25"/>
  <cols>
    <col min="1" max="1" width="15.109375" style="176" customWidth="1"/>
    <col min="2" max="2" width="17.33203125" style="176" customWidth="1"/>
    <col min="3" max="3" width="15.6640625" style="176" customWidth="1"/>
    <col min="4" max="5" width="13.109375" style="176" customWidth="1"/>
    <col min="6" max="6" width="10" style="176" customWidth="1"/>
    <col min="7" max="7" width="11.44140625" style="176"/>
    <col min="8" max="8" width="12" style="176" customWidth="1"/>
    <col min="9" max="9" width="10.5546875" style="176" customWidth="1"/>
    <col min="10" max="10" width="12.109375" style="176" customWidth="1"/>
    <col min="11" max="11" width="9.88671875" style="176" customWidth="1"/>
    <col min="12" max="12" width="9.44140625" style="176" customWidth="1"/>
    <col min="13" max="13" width="10.5546875" style="176" customWidth="1"/>
    <col min="14" max="14" width="3" style="176" customWidth="1"/>
    <col min="15" max="15" width="11.44140625" style="176"/>
    <col min="16" max="16" width="10.109375" style="176" customWidth="1"/>
    <col min="17" max="18" width="11.44140625" style="176"/>
    <col min="19" max="19" width="5.6640625" style="176" customWidth="1"/>
    <col min="20" max="16384" width="11.44140625" style="176"/>
  </cols>
  <sheetData>
    <row r="1" spans="1:9" x14ac:dyDescent="0.25">
      <c r="A1" s="972" t="s">
        <v>178</v>
      </c>
      <c r="B1" s="972"/>
      <c r="C1" s="972"/>
      <c r="D1" s="972"/>
      <c r="E1" s="972"/>
      <c r="F1" s="453"/>
    </row>
    <row r="2" spans="1:9" ht="15.75" customHeight="1" x14ac:dyDescent="0.25">
      <c r="A2" s="457" t="s">
        <v>165</v>
      </c>
      <c r="B2" s="462"/>
      <c r="C2" s="461">
        <f>DATOS!D16</f>
        <v>0</v>
      </c>
      <c r="D2" s="461">
        <f>DATOS!F16</f>
        <v>0</v>
      </c>
      <c r="E2" s="461">
        <f>DATOS!H16</f>
        <v>0</v>
      </c>
      <c r="F2" s="453"/>
    </row>
    <row r="3" spans="1:9" ht="15.75" customHeight="1" x14ac:dyDescent="0.25">
      <c r="A3" s="457" t="s">
        <v>193</v>
      </c>
      <c r="B3" s="462"/>
      <c r="C3" s="455" t="e">
        <f>LOG(C2)</f>
        <v>#NUM!</v>
      </c>
      <c r="D3" s="455" t="e">
        <f t="shared" ref="D3:E3" si="0">LOG(D2)</f>
        <v>#NUM!</v>
      </c>
      <c r="E3" s="455" t="e">
        <f t="shared" si="0"/>
        <v>#NUM!</v>
      </c>
      <c r="F3" s="453"/>
    </row>
    <row r="4" spans="1:9" ht="15.75" customHeight="1" x14ac:dyDescent="0.25">
      <c r="A4" s="457" t="s">
        <v>164</v>
      </c>
      <c r="B4" s="462"/>
      <c r="C4" s="455">
        <f>DATOS!D20</f>
        <v>0</v>
      </c>
      <c r="D4" s="455">
        <f>DATOS!F20</f>
        <v>0</v>
      </c>
      <c r="E4" s="455">
        <f>DATOS!H20</f>
        <v>0</v>
      </c>
      <c r="F4" s="453"/>
    </row>
    <row r="5" spans="1:9" ht="15.75" customHeight="1" x14ac:dyDescent="0.25">
      <c r="A5" s="457" t="s">
        <v>163</v>
      </c>
      <c r="B5" s="462"/>
      <c r="C5" s="455">
        <f>DATOS!D17</f>
        <v>0</v>
      </c>
      <c r="D5" s="455">
        <f>DATOS!F17</f>
        <v>0</v>
      </c>
      <c r="E5" s="455">
        <f>DATOS!H17</f>
        <v>0</v>
      </c>
      <c r="F5" s="453"/>
    </row>
    <row r="6" spans="1:9" ht="15.75" customHeight="1" x14ac:dyDescent="0.25">
      <c r="A6" s="457" t="s">
        <v>162</v>
      </c>
      <c r="B6" s="462"/>
      <c r="C6" s="455">
        <f>DATOS!D19</f>
        <v>0</v>
      </c>
      <c r="D6" s="455">
        <f>DATOS!F19</f>
        <v>0</v>
      </c>
      <c r="E6" s="455">
        <f>DATOS!H19</f>
        <v>0</v>
      </c>
      <c r="F6" s="453"/>
    </row>
    <row r="7" spans="1:9" ht="15.75" customHeight="1" x14ac:dyDescent="0.25">
      <c r="A7" s="457" t="s">
        <v>161</v>
      </c>
      <c r="B7" s="462"/>
      <c r="C7" s="461">
        <v>3.99</v>
      </c>
      <c r="D7" s="461">
        <v>4.0999999999999996</v>
      </c>
      <c r="E7" s="461">
        <v>4.17</v>
      </c>
      <c r="F7" s="453"/>
    </row>
    <row r="8" spans="1:9" ht="15.75" customHeight="1" x14ac:dyDescent="0.25">
      <c r="A8" s="463" t="s">
        <v>160</v>
      </c>
      <c r="B8" s="462"/>
      <c r="C8" s="455" t="e">
        <f>((C5-C6)/(C6-C4))*100</f>
        <v>#DIV/0!</v>
      </c>
      <c r="D8" s="455" t="e">
        <f>((D5-D6)/(D6-D4))*100</f>
        <v>#DIV/0!</v>
      </c>
      <c r="E8" s="455" t="e">
        <f>((E5-E6)/(E6-E4))*100</f>
        <v>#DIV/0!</v>
      </c>
      <c r="F8" s="453"/>
      <c r="G8" s="453"/>
      <c r="H8" s="453"/>
      <c r="I8" s="453"/>
    </row>
    <row r="9" spans="1:9" ht="16.5" customHeight="1" x14ac:dyDescent="0.25">
      <c r="A9" s="463" t="s">
        <v>159</v>
      </c>
      <c r="B9" s="462"/>
      <c r="C9" s="455" t="e">
        <f>+C37</f>
        <v>#NUM!</v>
      </c>
      <c r="D9" s="455" t="e">
        <f>+C38</f>
        <v>#NUM!</v>
      </c>
      <c r="E9" s="455" t="e">
        <f>+C39</f>
        <v>#NUM!</v>
      </c>
      <c r="F9" s="453"/>
      <c r="G9" s="453"/>
      <c r="H9" s="453"/>
      <c r="I9" s="453"/>
    </row>
    <row r="10" spans="1:9" x14ac:dyDescent="0.25">
      <c r="A10" s="456"/>
      <c r="B10" s="453"/>
      <c r="C10" s="453"/>
      <c r="D10" s="453"/>
      <c r="E10" s="453"/>
      <c r="F10" s="453"/>
      <c r="G10" s="453"/>
      <c r="H10" s="453"/>
      <c r="I10" s="453"/>
    </row>
    <row r="11" spans="1:9" x14ac:dyDescent="0.25">
      <c r="A11" s="454"/>
      <c r="B11" s="453"/>
      <c r="C11" s="453"/>
      <c r="D11" s="453"/>
      <c r="E11" s="453"/>
      <c r="F11" s="453"/>
      <c r="G11" s="453"/>
      <c r="H11" s="453"/>
      <c r="I11" s="453"/>
    </row>
    <row r="12" spans="1:9" x14ac:dyDescent="0.25">
      <c r="A12" s="454"/>
      <c r="B12" s="453"/>
      <c r="C12" s="453"/>
      <c r="D12" s="453"/>
      <c r="E12" s="453"/>
      <c r="F12" s="453"/>
      <c r="G12" s="453"/>
      <c r="H12" s="453"/>
      <c r="I12" s="453"/>
    </row>
    <row r="13" spans="1:9" x14ac:dyDescent="0.25">
      <c r="A13" s="454"/>
      <c r="B13" s="453"/>
      <c r="C13" s="453"/>
      <c r="D13" s="453"/>
      <c r="E13" s="453"/>
      <c r="F13" s="453"/>
      <c r="G13" s="453"/>
      <c r="H13" s="453"/>
      <c r="I13" s="453"/>
    </row>
    <row r="14" spans="1:9" x14ac:dyDescent="0.25">
      <c r="A14" s="454"/>
      <c r="B14" s="453"/>
      <c r="C14" s="453"/>
      <c r="D14" s="453"/>
      <c r="E14" s="453"/>
      <c r="F14" s="453"/>
      <c r="G14" s="453"/>
      <c r="H14" s="453"/>
      <c r="I14" s="453"/>
    </row>
    <row r="15" spans="1:9" x14ac:dyDescent="0.25">
      <c r="A15" s="454"/>
      <c r="B15" s="453"/>
      <c r="C15" s="453"/>
      <c r="D15" s="453"/>
      <c r="E15" s="453"/>
      <c r="F15" s="453"/>
      <c r="G15" s="453"/>
      <c r="H15" s="453"/>
      <c r="I15" s="453"/>
    </row>
    <row r="16" spans="1:9" x14ac:dyDescent="0.25">
      <c r="A16" s="454"/>
      <c r="B16" s="453"/>
      <c r="C16" s="453"/>
      <c r="D16" s="453"/>
      <c r="E16" s="453"/>
      <c r="F16" s="453"/>
      <c r="G16" s="453"/>
      <c r="H16" s="453"/>
      <c r="I16" s="453"/>
    </row>
    <row r="17" spans="1:15" x14ac:dyDescent="0.25">
      <c r="A17" s="454"/>
      <c r="B17" s="453"/>
      <c r="C17" s="453"/>
      <c r="D17" s="453"/>
      <c r="E17" s="453"/>
      <c r="F17" s="453"/>
      <c r="G17" s="453"/>
      <c r="H17" s="453"/>
      <c r="I17" s="453"/>
    </row>
    <row r="18" spans="1:15" x14ac:dyDescent="0.25">
      <c r="A18" s="454"/>
      <c r="B18" s="453"/>
      <c r="C18" s="453"/>
      <c r="D18" s="453"/>
      <c r="E18" s="453"/>
      <c r="F18" s="453"/>
      <c r="G18" s="453"/>
      <c r="H18" s="453"/>
      <c r="I18" s="453"/>
    </row>
    <row r="19" spans="1:15" x14ac:dyDescent="0.25">
      <c r="A19" s="454"/>
      <c r="B19" s="453"/>
      <c r="C19" s="453"/>
      <c r="D19" s="453"/>
      <c r="E19" s="453"/>
      <c r="F19" s="453"/>
      <c r="G19" s="453"/>
      <c r="H19" s="453"/>
      <c r="I19" s="453"/>
    </row>
    <row r="20" spans="1:15" x14ac:dyDescent="0.25">
      <c r="A20" s="454"/>
      <c r="B20" s="453"/>
      <c r="C20" s="453"/>
      <c r="D20" s="453"/>
      <c r="E20" s="453"/>
      <c r="F20" s="453"/>
      <c r="G20" s="235" t="s">
        <v>180</v>
      </c>
      <c r="H20" s="123"/>
      <c r="I20" s="123"/>
      <c r="J20" s="123"/>
      <c r="K20" s="235" t="s">
        <v>181</v>
      </c>
      <c r="M20" s="242" t="s">
        <v>182</v>
      </c>
    </row>
    <row r="21" spans="1:15" x14ac:dyDescent="0.25">
      <c r="A21" s="454"/>
      <c r="B21" s="453"/>
      <c r="C21" s="453"/>
      <c r="D21" s="453"/>
      <c r="E21" s="453"/>
      <c r="F21" s="453"/>
      <c r="G21" s="453"/>
      <c r="H21" s="453"/>
      <c r="I21" s="453"/>
    </row>
    <row r="22" spans="1:15" x14ac:dyDescent="0.25">
      <c r="A22" s="454"/>
      <c r="B22" s="453"/>
      <c r="C22" s="453"/>
      <c r="D22" s="453"/>
      <c r="E22" s="453"/>
      <c r="F22" s="453"/>
      <c r="G22" s="453"/>
      <c r="H22" s="453"/>
      <c r="I22" s="453"/>
    </row>
    <row r="23" spans="1:15" x14ac:dyDescent="0.25">
      <c r="A23" s="454"/>
      <c r="B23" s="453"/>
      <c r="C23" s="453"/>
      <c r="D23" s="453"/>
      <c r="E23" s="453"/>
      <c r="F23" s="453"/>
      <c r="G23" s="453"/>
      <c r="H23" s="453"/>
      <c r="I23" s="453"/>
    </row>
    <row r="24" spans="1:15" x14ac:dyDescent="0.25">
      <c r="A24" s="454"/>
      <c r="B24" s="453"/>
      <c r="C24" s="453"/>
      <c r="D24" s="453"/>
      <c r="E24" s="453"/>
      <c r="F24" s="453"/>
      <c r="G24" s="453"/>
      <c r="H24" s="453"/>
      <c r="I24" s="453"/>
    </row>
    <row r="25" spans="1:15" x14ac:dyDescent="0.25">
      <c r="A25" s="454"/>
      <c r="B25" s="453"/>
      <c r="C25" s="453"/>
      <c r="D25" s="453"/>
      <c r="E25" s="453"/>
      <c r="F25" s="453"/>
      <c r="G25" s="453"/>
      <c r="H25" s="453"/>
      <c r="I25" s="453"/>
    </row>
    <row r="26" spans="1:15" x14ac:dyDescent="0.25">
      <c r="A26" s="454"/>
      <c r="B26" s="453"/>
      <c r="C26" s="453"/>
      <c r="D26" s="453"/>
      <c r="E26" s="453"/>
      <c r="F26" s="453"/>
      <c r="G26" s="453"/>
      <c r="H26" s="453"/>
      <c r="I26" s="453"/>
    </row>
    <row r="27" spans="1:15" ht="15.75" customHeight="1" x14ac:dyDescent="0.25">
      <c r="A27" s="457" t="s">
        <v>177</v>
      </c>
      <c r="B27" s="458"/>
      <c r="C27" s="459" t="e">
        <f>(((25-D37)/(D39-D37))*(C39-C37))+C37</f>
        <v>#NUM!</v>
      </c>
      <c r="D27" s="453"/>
      <c r="E27" s="453"/>
      <c r="F27" s="453"/>
      <c r="G27" s="453"/>
      <c r="H27" s="453"/>
      <c r="I27" s="453"/>
    </row>
    <row r="28" spans="1:15" ht="15.75" customHeight="1" x14ac:dyDescent="0.25">
      <c r="A28" s="457"/>
      <c r="B28" s="458"/>
      <c r="C28" s="459"/>
      <c r="D28" s="453"/>
      <c r="E28" s="453"/>
      <c r="F28" s="453"/>
      <c r="G28" s="453"/>
      <c r="H28" s="453"/>
      <c r="I28" s="453"/>
    </row>
    <row r="29" spans="1:15" ht="15.75" customHeight="1" x14ac:dyDescent="0.25">
      <c r="A29" s="457" t="s">
        <v>176</v>
      </c>
      <c r="B29" s="458"/>
      <c r="C29" s="459">
        <f>+B42*LN(25)+B43</f>
        <v>36.246601226033178</v>
      </c>
      <c r="D29" s="453"/>
      <c r="E29" s="453"/>
      <c r="F29" s="453"/>
      <c r="G29" s="453"/>
      <c r="H29" s="453"/>
      <c r="I29" s="453"/>
    </row>
    <row r="30" spans="1:15" ht="13.8" thickBot="1" x14ac:dyDescent="0.3">
      <c r="A30" s="526"/>
      <c r="B30" s="526"/>
      <c r="C30" s="526"/>
      <c r="D30" s="526"/>
      <c r="E30" s="526"/>
      <c r="F30" s="526"/>
      <c r="G30" s="526"/>
      <c r="H30" s="453"/>
      <c r="I30" s="453"/>
    </row>
    <row r="31" spans="1:15" ht="13.8" thickBot="1" x14ac:dyDescent="0.3">
      <c r="A31" s="969" t="s">
        <v>175</v>
      </c>
      <c r="B31" s="970"/>
      <c r="C31" s="970"/>
      <c r="D31" s="970"/>
      <c r="E31" s="971"/>
      <c r="F31" s="526"/>
      <c r="G31" s="527"/>
      <c r="L31" s="123"/>
      <c r="M31" s="123"/>
      <c r="N31" s="123"/>
    </row>
    <row r="32" spans="1:15" x14ac:dyDescent="0.25">
      <c r="A32" s="526"/>
      <c r="B32" s="526"/>
      <c r="C32" s="526"/>
      <c r="D32" s="526"/>
      <c r="E32" s="526"/>
      <c r="F32" s="526"/>
      <c r="G32" s="528"/>
      <c r="H32" s="123"/>
      <c r="I32" s="123"/>
      <c r="J32" s="123"/>
      <c r="K32" s="123"/>
      <c r="M32" s="123"/>
      <c r="N32" s="123"/>
      <c r="O32" s="460"/>
    </row>
    <row r="33" spans="1:14" x14ac:dyDescent="0.25">
      <c r="A33" s="529" t="s">
        <v>158</v>
      </c>
      <c r="B33" s="530"/>
      <c r="C33" s="531">
        <f>AVERAGE(C2:E2)</f>
        <v>0</v>
      </c>
      <c r="D33" s="532"/>
      <c r="E33" s="532"/>
      <c r="F33" s="532"/>
      <c r="G33" s="533"/>
      <c r="H33" s="123"/>
      <c r="I33" s="123"/>
      <c r="J33" s="123"/>
      <c r="K33" s="123"/>
      <c r="L33" s="123">
        <f>-3.666*LN(25)+48.047</f>
        <v>36.246601226033178</v>
      </c>
      <c r="M33" s="123">
        <v>36.4666</v>
      </c>
      <c r="N33" s="123"/>
    </row>
    <row r="34" spans="1:14" x14ac:dyDescent="0.25">
      <c r="A34" s="529" t="s">
        <v>157</v>
      </c>
      <c r="B34" s="530"/>
      <c r="C34" s="534">
        <v>25</v>
      </c>
      <c r="D34" s="532"/>
      <c r="E34" s="532"/>
      <c r="F34" s="532"/>
      <c r="G34" s="533"/>
      <c r="H34" s="123"/>
      <c r="I34" s="123"/>
      <c r="J34" s="123"/>
      <c r="K34" s="123"/>
      <c r="L34" s="123">
        <f>-0.1389*25+39.822</f>
        <v>36.349500000000006</v>
      </c>
      <c r="M34" s="123">
        <v>36.569499999999998</v>
      </c>
      <c r="N34" s="123"/>
    </row>
    <row r="35" spans="1:14" ht="16.5" customHeight="1" x14ac:dyDescent="0.25">
      <c r="A35" s="535"/>
      <c r="B35" s="532"/>
      <c r="C35" s="532"/>
      <c r="D35" s="532"/>
      <c r="E35" s="532"/>
      <c r="F35" s="532"/>
      <c r="G35" s="533"/>
      <c r="H35" s="123"/>
      <c r="I35" s="123"/>
      <c r="J35" s="123"/>
      <c r="K35" s="123"/>
      <c r="L35" s="123"/>
      <c r="M35" s="123"/>
      <c r="N35" s="123"/>
    </row>
    <row r="36" spans="1:14" ht="24" customHeight="1" x14ac:dyDescent="0.25">
      <c r="A36" s="536" t="s">
        <v>155</v>
      </c>
      <c r="B36" s="537" t="s">
        <v>54</v>
      </c>
      <c r="C36" s="538" t="s">
        <v>174</v>
      </c>
      <c r="D36" s="532"/>
      <c r="E36" s="532"/>
      <c r="F36" s="532"/>
      <c r="G36" s="533"/>
      <c r="H36" s="123"/>
      <c r="I36" s="123"/>
      <c r="J36" s="123"/>
      <c r="K36" s="123"/>
      <c r="L36" s="123"/>
      <c r="M36" s="123"/>
      <c r="N36" s="123"/>
    </row>
    <row r="37" spans="1:14" x14ac:dyDescent="0.25">
      <c r="A37" s="539">
        <f>C2</f>
        <v>0</v>
      </c>
      <c r="B37" s="539" t="e">
        <f>C8</f>
        <v>#DIV/0!</v>
      </c>
      <c r="C37" s="540" t="e">
        <f>+$B$42*D37+$B$43</f>
        <v>#NUM!</v>
      </c>
      <c r="D37" s="575" t="e">
        <f>+LN(A37)</f>
        <v>#NUM!</v>
      </c>
      <c r="E37" s="532"/>
      <c r="F37" s="532"/>
      <c r="G37" s="532"/>
      <c r="H37" s="453"/>
      <c r="I37" s="453"/>
    </row>
    <row r="38" spans="1:14" x14ac:dyDescent="0.25">
      <c r="A38" s="541">
        <f>D2</f>
        <v>0</v>
      </c>
      <c r="B38" s="539" t="e">
        <f>D8</f>
        <v>#DIV/0!</v>
      </c>
      <c r="C38" s="540" t="e">
        <f t="shared" ref="C38:C39" si="1">+$B$42*D38+$B$43</f>
        <v>#NUM!</v>
      </c>
      <c r="D38" s="575" t="e">
        <f>+LN(A38)</f>
        <v>#NUM!</v>
      </c>
      <c r="E38" s="532"/>
      <c r="F38" s="532"/>
      <c r="G38" s="532"/>
      <c r="H38" s="453"/>
      <c r="I38" s="453"/>
    </row>
    <row r="39" spans="1:14" x14ac:dyDescent="0.25">
      <c r="A39" s="542">
        <f>E2</f>
        <v>0</v>
      </c>
      <c r="B39" s="543" t="e">
        <f>E8</f>
        <v>#DIV/0!</v>
      </c>
      <c r="C39" s="540" t="e">
        <f t="shared" si="1"/>
        <v>#NUM!</v>
      </c>
      <c r="D39" s="575" t="e">
        <f>+LN(A39)</f>
        <v>#NUM!</v>
      </c>
      <c r="E39" s="532"/>
      <c r="F39" s="532"/>
      <c r="G39" s="532"/>
      <c r="H39" s="453"/>
      <c r="I39" s="453"/>
    </row>
    <row r="40" spans="1:14" ht="15.75" customHeight="1" x14ac:dyDescent="0.25">
      <c r="A40" s="544" t="s">
        <v>154</v>
      </c>
      <c r="B40" s="541" t="e">
        <f>AVERAGE(B37:B39)</f>
        <v>#DIV/0!</v>
      </c>
      <c r="C40" s="545"/>
      <c r="D40" s="532"/>
      <c r="E40" s="532"/>
      <c r="F40" s="532"/>
      <c r="G40" s="532"/>
      <c r="H40" s="453"/>
      <c r="I40" s="453"/>
    </row>
    <row r="41" spans="1:14" x14ac:dyDescent="0.25">
      <c r="A41" s="532"/>
      <c r="B41" s="532"/>
      <c r="C41" s="532"/>
      <c r="D41" s="532"/>
      <c r="E41" s="532"/>
      <c r="F41" s="532"/>
      <c r="G41" s="532"/>
      <c r="H41" s="453"/>
      <c r="I41" s="453"/>
    </row>
    <row r="42" spans="1:14" x14ac:dyDescent="0.25">
      <c r="A42" s="534" t="s">
        <v>153</v>
      </c>
      <c r="B42" s="546">
        <v>-3.6659999999999999</v>
      </c>
      <c r="C42" s="532"/>
      <c r="D42" s="532"/>
      <c r="E42" s="532"/>
      <c r="F42" s="532"/>
      <c r="G42" s="532"/>
      <c r="H42" s="453"/>
      <c r="I42" s="453"/>
    </row>
    <row r="43" spans="1:14" x14ac:dyDescent="0.25">
      <c r="A43" s="534" t="s">
        <v>152</v>
      </c>
      <c r="B43" s="546">
        <v>48.046999999999997</v>
      </c>
      <c r="C43" s="532"/>
      <c r="D43" s="532"/>
      <c r="E43" s="532"/>
      <c r="F43" s="532"/>
      <c r="G43" s="532"/>
      <c r="H43" s="453"/>
      <c r="I43" s="453"/>
    </row>
    <row r="44" spans="1:14" x14ac:dyDescent="0.25">
      <c r="A44" s="532"/>
      <c r="B44" s="532"/>
      <c r="C44" s="532"/>
      <c r="D44" s="532"/>
      <c r="E44" s="532"/>
      <c r="F44" s="532"/>
      <c r="G44" s="532"/>
      <c r="H44" s="453"/>
      <c r="I44" s="453"/>
    </row>
    <row r="45" spans="1:14" ht="13.8" thickBot="1" x14ac:dyDescent="0.3">
      <c r="A45" s="532"/>
      <c r="B45" s="532"/>
      <c r="C45" s="532"/>
      <c r="D45" s="532"/>
      <c r="E45" s="532"/>
      <c r="F45" s="532"/>
      <c r="G45" s="532"/>
      <c r="H45" s="453"/>
      <c r="I45" s="453"/>
    </row>
    <row r="46" spans="1:14" ht="13.8" thickBot="1" x14ac:dyDescent="0.3">
      <c r="A46" s="973" t="s">
        <v>173</v>
      </c>
      <c r="B46" s="974"/>
      <c r="C46" s="974"/>
      <c r="D46" s="974"/>
      <c r="E46" s="975"/>
      <c r="F46" s="532"/>
      <c r="G46" s="532"/>
      <c r="H46" s="453"/>
      <c r="I46" s="453"/>
    </row>
    <row r="47" spans="1:14" ht="19.5" customHeight="1" thickBot="1" x14ac:dyDescent="0.3">
      <c r="A47" s="532"/>
      <c r="B47" s="532"/>
      <c r="C47" s="532"/>
      <c r="D47" s="532"/>
      <c r="E47" s="532"/>
      <c r="F47" s="532"/>
      <c r="G47" s="532"/>
      <c r="H47" s="453"/>
      <c r="I47" s="453"/>
    </row>
    <row r="48" spans="1:14" ht="13.8" thickBot="1" x14ac:dyDescent="0.3">
      <c r="A48" s="547" t="s">
        <v>257</v>
      </c>
      <c r="B48" s="548"/>
      <c r="C48" s="549" t="e">
        <f>POWER(C27-B40,2)</f>
        <v>#NUM!</v>
      </c>
      <c r="D48" s="532"/>
      <c r="E48" s="550">
        <f>(25-C29)*(25-C29)</f>
        <v>126.48603913741098</v>
      </c>
      <c r="F48" s="532"/>
      <c r="G48" s="532"/>
      <c r="H48" s="453"/>
      <c r="I48" s="453"/>
    </row>
    <row r="49" spans="1:9" ht="13.8" thickBot="1" x14ac:dyDescent="0.3">
      <c r="A49" s="532"/>
      <c r="B49" s="532"/>
      <c r="C49" s="532"/>
      <c r="D49" s="532"/>
      <c r="E49" s="532"/>
      <c r="F49" s="532"/>
      <c r="G49" s="532"/>
      <c r="H49" s="453"/>
      <c r="I49" s="453"/>
    </row>
    <row r="50" spans="1:9" ht="13.8" thickBot="1" x14ac:dyDescent="0.3">
      <c r="A50" s="547" t="s">
        <v>172</v>
      </c>
      <c r="B50" s="548"/>
      <c r="C50" s="551"/>
      <c r="D50" s="532"/>
      <c r="E50" s="532"/>
      <c r="F50" s="532"/>
      <c r="G50" s="532"/>
      <c r="H50" s="453"/>
      <c r="I50" s="453"/>
    </row>
    <row r="51" spans="1:9" x14ac:dyDescent="0.25">
      <c r="A51" s="535"/>
      <c r="B51" s="535"/>
      <c r="C51" s="535"/>
      <c r="D51" s="532"/>
      <c r="E51" s="532"/>
      <c r="F51" s="532"/>
      <c r="G51" s="532"/>
      <c r="H51" s="453"/>
      <c r="I51" s="453"/>
    </row>
    <row r="52" spans="1:9" ht="13.8" thickBot="1" x14ac:dyDescent="0.3">
      <c r="A52" s="532"/>
      <c r="B52" s="552" t="s">
        <v>192</v>
      </c>
      <c r="C52" s="553"/>
      <c r="D52" s="553"/>
      <c r="E52" s="553"/>
      <c r="F52" s="553"/>
      <c r="G52" s="532"/>
      <c r="H52" s="453"/>
      <c r="I52" s="453"/>
    </row>
    <row r="53" spans="1:9" ht="16.5" customHeight="1" thickBot="1" x14ac:dyDescent="0.3">
      <c r="A53" s="532"/>
      <c r="B53" s="554" t="s">
        <v>155</v>
      </c>
      <c r="C53" s="555" t="s">
        <v>258</v>
      </c>
      <c r="D53" s="532"/>
      <c r="E53" s="556"/>
      <c r="F53" s="556"/>
      <c r="G53" s="532"/>
      <c r="H53" s="453"/>
      <c r="I53" s="453"/>
    </row>
    <row r="54" spans="1:9" x14ac:dyDescent="0.25">
      <c r="A54" s="532"/>
      <c r="B54" s="557" t="e">
        <f>C3</f>
        <v>#NUM!</v>
      </c>
      <c r="C54" s="558" t="e">
        <f>POWER((C37-$B$40),2)</f>
        <v>#NUM!</v>
      </c>
      <c r="D54" s="559"/>
      <c r="E54" s="556"/>
      <c r="F54" s="556"/>
      <c r="G54" s="532"/>
      <c r="H54" s="453"/>
      <c r="I54" s="453"/>
    </row>
    <row r="55" spans="1:9" x14ac:dyDescent="0.25">
      <c r="A55" s="532"/>
      <c r="B55" s="560" t="e">
        <f>D3</f>
        <v>#NUM!</v>
      </c>
      <c r="C55" s="561" t="e">
        <f>POWER((C38-$B$40),2)</f>
        <v>#NUM!</v>
      </c>
      <c r="D55" s="559"/>
      <c r="E55" s="562"/>
      <c r="F55" s="562"/>
      <c r="G55" s="532"/>
      <c r="H55" s="453"/>
      <c r="I55" s="453"/>
    </row>
    <row r="56" spans="1:9" ht="13.8" thickBot="1" x14ac:dyDescent="0.3">
      <c r="A56" s="532"/>
      <c r="B56" s="563" t="e">
        <f>E3</f>
        <v>#NUM!</v>
      </c>
      <c r="C56" s="564" t="e">
        <f>POWER((C39-$B$40),2)</f>
        <v>#NUM!</v>
      </c>
      <c r="D56" s="559"/>
      <c r="E56" s="562"/>
      <c r="F56" s="562"/>
      <c r="G56" s="532"/>
      <c r="H56" s="453"/>
      <c r="I56" s="453"/>
    </row>
    <row r="57" spans="1:9" ht="13.8" thickBot="1" x14ac:dyDescent="0.3">
      <c r="A57" s="532"/>
      <c r="B57" s="547"/>
      <c r="C57" s="565" t="e">
        <f>SUM(C54:C56)</f>
        <v>#NUM!</v>
      </c>
      <c r="D57" s="532"/>
      <c r="E57" s="566"/>
      <c r="F57" s="532"/>
      <c r="G57" s="532"/>
      <c r="H57" s="453"/>
      <c r="I57" s="453"/>
    </row>
    <row r="58" spans="1:9" x14ac:dyDescent="0.25">
      <c r="A58" s="532"/>
      <c r="B58" s="532"/>
      <c r="C58" s="532"/>
      <c r="D58" s="532"/>
      <c r="E58" s="532"/>
      <c r="F58" s="532"/>
      <c r="G58" s="532"/>
      <c r="H58" s="453"/>
      <c r="I58" s="453"/>
    </row>
    <row r="59" spans="1:9" ht="13.8" thickBot="1" x14ac:dyDescent="0.3">
      <c r="A59" s="532"/>
      <c r="B59" s="532"/>
      <c r="C59" s="532"/>
      <c r="D59" s="532"/>
      <c r="E59" s="532"/>
      <c r="F59" s="532"/>
      <c r="G59" s="532"/>
      <c r="H59" s="453"/>
      <c r="I59" s="453"/>
    </row>
    <row r="60" spans="1:9" ht="13.8" thickBot="1" x14ac:dyDescent="0.3">
      <c r="A60" s="547" t="s">
        <v>179</v>
      </c>
      <c r="B60" s="551"/>
      <c r="C60" s="532"/>
      <c r="D60" s="532"/>
      <c r="E60" s="532"/>
      <c r="F60" s="532"/>
      <c r="G60" s="532"/>
      <c r="H60" s="453"/>
      <c r="I60" s="453"/>
    </row>
    <row r="61" spans="1:9" ht="13.8" thickBot="1" x14ac:dyDescent="0.3">
      <c r="A61" s="532"/>
      <c r="B61" s="532"/>
      <c r="C61" s="532"/>
      <c r="D61" s="532"/>
      <c r="E61" s="532"/>
      <c r="F61" s="532"/>
      <c r="G61" s="532"/>
      <c r="H61" s="453"/>
      <c r="I61" s="453"/>
    </row>
    <row r="62" spans="1:9" ht="13.8" thickBot="1" x14ac:dyDescent="0.3">
      <c r="A62" s="532"/>
      <c r="B62" s="567" t="s">
        <v>155</v>
      </c>
      <c r="C62" s="568" t="s">
        <v>156</v>
      </c>
      <c r="D62" s="967"/>
      <c r="E62" s="968"/>
      <c r="F62" s="532"/>
      <c r="G62" s="532"/>
      <c r="H62" s="453"/>
      <c r="I62" s="453"/>
    </row>
    <row r="63" spans="1:9" x14ac:dyDescent="0.25">
      <c r="A63" s="532"/>
      <c r="B63" s="569">
        <f>C2</f>
        <v>0</v>
      </c>
      <c r="C63" s="558" t="e">
        <f>POWER(C37-B37,2)</f>
        <v>#NUM!</v>
      </c>
      <c r="D63" s="570"/>
      <c r="E63" s="570"/>
      <c r="F63" s="532"/>
      <c r="G63" s="532"/>
      <c r="H63" s="453"/>
      <c r="I63" s="453"/>
    </row>
    <row r="64" spans="1:9" x14ac:dyDescent="0.25">
      <c r="A64" s="532"/>
      <c r="B64" s="571">
        <v>28</v>
      </c>
      <c r="C64" s="561" t="e">
        <f>POWER(C38-B38,2)</f>
        <v>#NUM!</v>
      </c>
      <c r="D64" s="570"/>
      <c r="E64" s="570"/>
      <c r="F64" s="532"/>
      <c r="G64" s="532"/>
      <c r="H64" s="453"/>
      <c r="I64" s="453"/>
    </row>
    <row r="65" spans="1:9" ht="13.8" thickBot="1" x14ac:dyDescent="0.3">
      <c r="A65" s="532"/>
      <c r="B65" s="572">
        <v>21</v>
      </c>
      <c r="C65" s="564" t="e">
        <f>POWER(C39-B39,2)</f>
        <v>#NUM!</v>
      </c>
      <c r="D65" s="570"/>
      <c r="E65" s="570"/>
      <c r="F65" s="532"/>
      <c r="G65" s="532"/>
      <c r="H65" s="453"/>
      <c r="I65" s="453"/>
    </row>
    <row r="66" spans="1:9" ht="13.8" thickBot="1" x14ac:dyDescent="0.3">
      <c r="A66" s="532"/>
      <c r="B66" s="532"/>
      <c r="C66" s="532"/>
      <c r="D66" s="532"/>
      <c r="E66" s="532"/>
      <c r="F66" s="532"/>
      <c r="G66" s="532"/>
      <c r="H66" s="453"/>
      <c r="I66" s="453"/>
    </row>
    <row r="67" spans="1:9" ht="13.8" thickBot="1" x14ac:dyDescent="0.3">
      <c r="A67" s="532"/>
      <c r="B67" s="547" t="s">
        <v>188</v>
      </c>
      <c r="C67" s="573" t="e">
        <f>SQRT(SUM(C63:C65)/4)</f>
        <v>#NUM!</v>
      </c>
      <c r="D67" s="532"/>
      <c r="E67" s="532"/>
      <c r="F67" s="532"/>
      <c r="G67" s="532"/>
      <c r="H67" s="453"/>
      <c r="I67" s="453"/>
    </row>
    <row r="68" spans="1:9" ht="13.5" customHeight="1" thickBot="1" x14ac:dyDescent="0.3">
      <c r="A68" s="532"/>
      <c r="B68" s="532"/>
      <c r="C68" s="532"/>
      <c r="D68" s="532"/>
      <c r="E68" s="532"/>
      <c r="F68" s="532"/>
      <c r="G68" s="532"/>
      <c r="H68" s="453"/>
      <c r="I68" s="453"/>
    </row>
    <row r="69" spans="1:9" ht="13.8" thickBot="1" x14ac:dyDescent="0.3">
      <c r="A69" s="574" t="s">
        <v>189</v>
      </c>
      <c r="B69" s="534" t="s">
        <v>171</v>
      </c>
      <c r="C69" s="573" t="e">
        <f>(C67/B43*(SQRT((1)+(1/6)+(C48/C57))))</f>
        <v>#NUM!</v>
      </c>
      <c r="D69" s="532" t="s">
        <v>110</v>
      </c>
      <c r="E69" s="532"/>
      <c r="F69" s="532"/>
      <c r="G69" s="532"/>
      <c r="H69" s="453"/>
      <c r="I69" s="453"/>
    </row>
    <row r="70" spans="1:9" ht="13.5" customHeight="1" x14ac:dyDescent="0.25">
      <c r="A70" s="532"/>
      <c r="B70" s="532"/>
      <c r="C70" s="532"/>
      <c r="D70" s="532"/>
      <c r="E70" s="532"/>
      <c r="F70" s="532"/>
      <c r="G70" s="532"/>
      <c r="H70" s="453"/>
      <c r="I70" s="453"/>
    </row>
    <row r="71" spans="1:9" ht="13.5" customHeight="1" x14ac:dyDescent="0.25">
      <c r="A71" s="532"/>
      <c r="B71" s="532"/>
      <c r="C71" s="532"/>
      <c r="D71" s="532"/>
      <c r="E71" s="532"/>
      <c r="F71" s="532"/>
      <c r="G71" s="532"/>
      <c r="H71" s="453"/>
      <c r="I71" s="453"/>
    </row>
    <row r="72" spans="1:9" ht="13.5" customHeight="1" x14ac:dyDescent="0.25">
      <c r="A72" s="535"/>
      <c r="B72" s="535"/>
      <c r="C72" s="535"/>
      <c r="D72" s="535"/>
      <c r="E72" s="535"/>
      <c r="F72" s="535"/>
      <c r="G72" s="535"/>
    </row>
    <row r="73" spans="1:9" ht="19.5" customHeight="1" x14ac:dyDescent="0.25"/>
  </sheetData>
  <sheetProtection selectLockedCells="1" selectUnlockedCells="1"/>
  <mergeCells count="4">
    <mergeCell ref="D62:E62"/>
    <mergeCell ref="A31:E31"/>
    <mergeCell ref="A1:E1"/>
    <mergeCell ref="A46:E46"/>
  </mergeCells>
  <pageMargins left="0.46" right="0.28000000000000003" top="0.31" bottom="0.2" header="0.15" footer="0"/>
  <pageSetup paperSize="9" scale="75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>
              <from>
                <xdr:col>6</xdr:col>
                <xdr:colOff>518160</xdr:colOff>
                <xdr:row>20</xdr:row>
                <xdr:rowOff>106680</xdr:rowOff>
              </from>
              <to>
                <xdr:col>8</xdr:col>
                <xdr:colOff>99060</xdr:colOff>
                <xdr:row>29</xdr:row>
                <xdr:rowOff>137160</xdr:rowOff>
              </to>
            </anchor>
          </objectPr>
        </oleObject>
      </mc:Choice>
      <mc:Fallback>
        <oleObject progId="Equation.3" shapeId="9217" r:id="rId4"/>
      </mc:Fallback>
    </mc:AlternateContent>
    <mc:AlternateContent xmlns:mc="http://schemas.openxmlformats.org/markup-compatibility/2006">
      <mc:Choice Requires="x14">
        <oleObject progId="Equation.3" shapeId="9218" r:id="rId6">
          <objectPr defaultSize="0" autoPict="0" r:id="rId7">
            <anchor moveWithCells="1">
              <from>
                <xdr:col>9</xdr:col>
                <xdr:colOff>746760</xdr:colOff>
                <xdr:row>21</xdr:row>
                <xdr:rowOff>30480</xdr:rowOff>
              </from>
              <to>
                <xdr:col>15</xdr:col>
                <xdr:colOff>198120</xdr:colOff>
                <xdr:row>26</xdr:row>
                <xdr:rowOff>99060</xdr:rowOff>
              </to>
            </anchor>
          </objectPr>
        </oleObject>
      </mc:Choice>
      <mc:Fallback>
        <oleObject progId="Equation.3" shapeId="9218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"/>
  <sheetViews>
    <sheetView zoomScaleNormal="100" workbookViewId="0">
      <selection activeCell="H5" sqref="H5"/>
    </sheetView>
  </sheetViews>
  <sheetFormatPr baseColWidth="10" defaultColWidth="11.44140625" defaultRowHeight="13.2" x14ac:dyDescent="0.25"/>
  <cols>
    <col min="1" max="1" width="37" style="235" customWidth="1"/>
    <col min="2" max="5" width="11.44140625" style="235"/>
    <col min="6" max="6" width="16.33203125" style="235" customWidth="1"/>
    <col min="7" max="7" width="36.44140625" style="235" customWidth="1"/>
    <col min="8" max="16384" width="11.44140625" style="235"/>
  </cols>
  <sheetData>
    <row r="1" spans="1:16" ht="6" customHeight="1" x14ac:dyDescent="0.25"/>
    <row r="2" spans="1:16" ht="15.75" customHeight="1" x14ac:dyDescent="0.25">
      <c r="A2" s="329"/>
      <c r="G2" s="329"/>
      <c r="M2" s="328"/>
      <c r="N2" s="958"/>
      <c r="O2" s="958"/>
      <c r="P2" s="958"/>
    </row>
    <row r="3" spans="1:16" ht="15.75" customHeight="1" x14ac:dyDescent="0.25">
      <c r="A3" s="329" t="s">
        <v>327</v>
      </c>
      <c r="G3" s="329" t="s">
        <v>328</v>
      </c>
      <c r="M3" s="962"/>
      <c r="N3" s="656"/>
      <c r="O3" s="656"/>
      <c r="P3" s="656"/>
    </row>
    <row r="4" spans="1:16" ht="15.75" customHeight="1" x14ac:dyDescent="0.25">
      <c r="A4" s="329" t="s">
        <v>166</v>
      </c>
      <c r="B4" s="334">
        <v>46070</v>
      </c>
      <c r="G4" s="329" t="s">
        <v>166</v>
      </c>
      <c r="H4" s="334">
        <v>46070</v>
      </c>
      <c r="M4" s="962"/>
      <c r="N4" s="656"/>
      <c r="O4" s="657"/>
      <c r="P4" s="657"/>
    </row>
    <row r="5" spans="1:16" ht="8.4" customHeight="1" x14ac:dyDescent="0.25">
      <c r="A5" s="329"/>
      <c r="B5" s="658"/>
      <c r="G5" s="329"/>
      <c r="H5" s="658"/>
      <c r="M5" s="962"/>
      <c r="N5" s="330"/>
      <c r="O5" s="330"/>
      <c r="P5" s="330"/>
    </row>
    <row r="6" spans="1:16" ht="15.75" customHeight="1" x14ac:dyDescent="0.25">
      <c r="A6" s="333" t="s">
        <v>235</v>
      </c>
      <c r="B6" s="976">
        <v>0.48709342019780943</v>
      </c>
      <c r="C6" s="976"/>
      <c r="D6" s="976"/>
      <c r="G6" s="333" t="s">
        <v>235</v>
      </c>
      <c r="H6" s="976">
        <v>0.37576292762562136</v>
      </c>
      <c r="I6" s="976"/>
      <c r="J6" s="976"/>
    </row>
    <row r="7" spans="1:16" ht="15.75" customHeight="1" x14ac:dyDescent="0.25">
      <c r="A7" s="333" t="s">
        <v>236</v>
      </c>
      <c r="B7" s="976">
        <v>30.426107043162038</v>
      </c>
      <c r="C7" s="976"/>
      <c r="D7" s="976"/>
      <c r="G7" s="333" t="s">
        <v>236</v>
      </c>
      <c r="H7" s="976">
        <v>13.539615297614901</v>
      </c>
      <c r="I7" s="976"/>
      <c r="J7" s="976"/>
    </row>
  </sheetData>
  <sheetProtection algorithmName="SHA-512" hashValue="3a+GAzb4ErIvWiHDc/JDRghEU5Vz7fInZgLgz5WDtHIcoEyCAeO0bdVuZsfwttI+MdSm9HQGBuqOSGSD5SybVw==" saltValue="qb2pw+na9hwyXt8R2I+eYQ==" spinCount="100000" sheet="1" selectLockedCells="1" selectUnlockedCells="1"/>
  <mergeCells count="6">
    <mergeCell ref="B6:D6"/>
    <mergeCell ref="B7:D7"/>
    <mergeCell ref="H6:J6"/>
    <mergeCell ref="H7:J7"/>
    <mergeCell ref="N2:P2"/>
    <mergeCell ref="M3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INFORME NTP</vt:lpstr>
      <vt:lpstr>FORMATO</vt:lpstr>
      <vt:lpstr>INFORME LIMITE</vt:lpstr>
      <vt:lpstr>DATOS</vt:lpstr>
      <vt:lpstr>Incertidumbre</vt:lpstr>
      <vt:lpstr>Balanza</vt:lpstr>
      <vt:lpstr>Hoja1</vt:lpstr>
      <vt:lpstr>curva</vt:lpstr>
      <vt:lpstr>Precision</vt:lpstr>
      <vt:lpstr>'INFORME LIMITE'!Área_de_impresión</vt:lpstr>
      <vt:lpstr>'INFORME NTP'!Área_de_impresión</vt:lpstr>
      <vt:lpstr>DATOS!Títulos_a_imprimir</vt:lpstr>
      <vt:lpstr>'INFORME LIMITE'!Títulos_a_imprimir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2026-06-13T15:37:48Z</cp:lastPrinted>
  <dcterms:created xsi:type="dcterms:W3CDTF">1999-11-07T15:11:55Z</dcterms:created>
  <dcterms:modified xsi:type="dcterms:W3CDTF">2026-06-13T15:38:08Z</dcterms:modified>
</cp:coreProperties>
</file>