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new\api-geofal-crm\"/>
    </mc:Choice>
  </mc:AlternateContent>
  <xr:revisionPtr revIDLastSave="0" documentId="13_ncr:1_{201BEDDE-87E8-4855-B4A7-046788451FDC}"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<sst xmlns="http://schemas.openxmlformats.org/spreadsheetml/2006/main" count="14263" uniqueCount="6548">
  <si>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</si>
  <si>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</si>
  <si>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</si>
  <si>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</si>
  <si>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</si>
  <si>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</si>
  <si>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</si>
  <si>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</si>
  <si>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</si>
  <si>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</si>
  <si>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</si>
  <si>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</si>
  <si>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</si>
  <si>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</si>
  <si>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</si>
  <si>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</si>
  <si>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</si>
  <si>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</si>
  <si>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</si>
  <si>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</si>
  <si>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</si>
  <si>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</si>
  <si>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</si>
  <si>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</si>
  <si>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</si>
  <si>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</si>
  <si>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</si>
  <si>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</si>
  <si>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</si>
  <si>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</si>
  <si>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</si>
  <si>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</si>
  <si>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</si>
  <si>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</si>
  <si>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</si>
  <si>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</si>
  <si>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</si>
  <si>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</si>
  <si>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</si>
  <si>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</si>
  <si>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</si>
  <si>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</si>
  <si>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</si>
  <si>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</si>
  <si>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</si>
  <si>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</si>
  <si>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</si>
  <si>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</si>
  <si>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</si>
  <si>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</si>
  <si>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</si>
  <si>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</si>
  <si>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</si>
  <si>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</si>
  <si>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</si>
  <si>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</si>
  <si>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</si>
  <si>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</si>
  <si>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</si>
  <si>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</si>
  <si>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</si>
  <si>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</si>
  <si>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</si>
  <si>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</si>
  <si>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</si>
  <si>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</si>
  <si>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</si>
  <si>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</si>
  <si>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</si>
  <si>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</si>
  <si>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</si>
  <si>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</si>
  <si>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</si>
  <si>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</si>
  <si>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</si>
  <si>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</si>
  <si>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</si>
  <si>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</si>
  <si>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</si>
  <si>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</si>
  <si>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</si>
  <si>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</si>
  <si>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</si>
  <si>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</si>
  <si>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</si>
  <si>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</si>
  <si>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</si>
  <si>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</si>
  <si>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</si>
  <si>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</si>
  <si>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</si>
  <si>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</si>
  <si>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</si>
  <si>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</si>
  <si>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</si>
  <si>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</si>
  <si>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</si>
  <si>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</si>
  <si>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</si>
  <si>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</si>
  <si>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</si>
  <si>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</si>
  <si>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</si>
  <si>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</si>
  <si>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</si>
  <si>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</si>
  <si>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</si>
  <si>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</si>
  <si>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</si>
  <si>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</si>
  <si>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</si>
  <si>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</si>
  <si>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</si>
  <si>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</si>
  <si>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</si>
  <si>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</si>
  <si>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</si>
  <si>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</si>
  <si>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</si>
  <si>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</si>
  <si>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</si>
  <si>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</si>
  <si>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</si>
  <si>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</si>
  <si>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</si>
  <si>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</si>
  <si>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</si>
  <si>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</si>
  <si>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</si>
  <si>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</si>
  <si>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</si>
  <si>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</si>
  <si>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</si>
  <si>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</si>
  <si>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</si>
  <si>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</si>
  <si>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</si>
  <si>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</si>
  <si>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</si>
  <si>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</si>
  <si>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</si>
  <si>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</si>
  <si>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</si>
  <si>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</si>
  <si>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</si>
  <si>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</si>
  <si>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</si>
  <si>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</si>
  <si>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</si>
  <si>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</si>
  <si>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</si>
  <si>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</si>
  <si>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</si>
  <si>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</si>
  <si>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</si>
  <si>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</si>
  <si>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</si>
  <si>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</si>
  <si>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</si>
  <si>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</si>
  <si>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</si>
  <si>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</si>
  <si>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</si>
  <si>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</si>
  <si>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</si>
  <si>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</si>
  <si>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</si>
  <si>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</si>
  <si>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</si>
  <si>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</si>
  <si>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</si>
  <si>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</si>
  <si>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</si>
  <si>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</si>
  <si>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</si>
  <si>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</si>
  <si>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</si>
  <si>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</si>
  <si>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</si>
  <si>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</si>
  <si>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</si>
  <si>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</si>
  <si>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</si>
  <si>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</si>
  <si>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</si>
  <si>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</si>
  <si>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</si>
  <si>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</si>
  <si>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</si>
  <si>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</si>
  <si>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</si>
  <si>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</si>
  <si>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</si>
  <si>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</si>
  <si>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</si>
  <si>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</si>
  <si>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</si>
  <si>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</si>
  <si>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</si>
  <si>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</si>
  <si>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</si>
  <si>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</si>
  <si>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</si>
  <si>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</si>
  <si>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</si>
  <si>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</si>
  <si>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</si>
  <si>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</si>
  <si>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</si>
  <si>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</si>
  <si>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</si>
  <si>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</si>
  <si>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</si>
  <si>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</si>
  <si>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</si>
  <si>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</si>
  <si>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</si>
  <si>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</si>
  <si>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</si>
  <si>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</si>
  <si>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</si>
  <si>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</si>
  <si>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</si>
  <si>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</si>
  <si>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</si>
  <si>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</si>
  <si>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</si>
  <si>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</si>
  <si>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</si>
  <si>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</si>
  <si>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</si>
  <si>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</si>
  <si>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</si>
  <si>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</si>
  <si>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</si>
  <si>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</si>
  <si>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</si>
  <si>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</si>
  <si>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</si>
  <si>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</si>
  <si>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</si>
  <si>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</si>
  <si>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</si>
  <si>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</si>
  <si>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</si>
  <si>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</si>
  <si>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</si>
  <si>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</si>
  <si>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</si>
  <si>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</si>
  <si>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</si>
  <si>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</si>
  <si>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</si>
  <si>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</si>
  <si>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</si>
  <si>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</si>
  <si>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</si>
  <si>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</si>
  <si>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</si>
  <si>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</si>
  <si>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</si>
  <si>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</si>
  <si>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</si>
  <si>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</si>
  <si>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</si>
  <si>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</si>
  <si>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</si>
  <si>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</si>
  <si>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</si>
  <si>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</si>
  <si>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</si>
  <si>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</si>
  <si>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</si>
  <si>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</si>
  <si>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</si>
  <si>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</si>
  <si>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</si>
  <si>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</si>
  <si>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</si>
  <si>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</si>
  <si>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</si>
  <si>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</si>
  <si>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</si>
  <si>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</si>
  <si>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</si>
  <si>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</si>
  <si>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</si>
  <si>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</si>
  <si>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</si>
  <si>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</si>
  <si>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</si>
  <si>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</si>
  <si>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</si>
  <si>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</si>
  <si>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</si>
  <si>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</si>
  <si>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</si>
  <si>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</si>
  <si>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</si>
  <si>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</si>
  <si>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</si>
  <si>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</si>
  <si>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</si>
  <si>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</si>
  <si>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</si>
  <si>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</si>
  <si>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</si>
  <si>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</si>
  <si>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</si>
  <si>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</si>
  <si>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</si>
  <si>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</si>
  <si>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</si>
  <si>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</si>
  <si>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</si>
  <si>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</si>
  <si>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</si>
  <si>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</si>
  <si>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</si>
  <si>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</si>
  <si>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</si>
  <si>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</si>
  <si>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</si>
  <si>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</si>
  <si>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</si>
  <si>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</si>
  <si>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</si>
  <si>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</si>
  <si>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</si>
  <si>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</si>
  <si>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</si>
  <si>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</si>
  <si>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</si>
  <si>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</si>
  <si>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</si>
  <si>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</si>
  <si>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</si>
  <si>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</si>
  <si>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</si>
  <si>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</si>
  <si>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</si>
  <si>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</si>
  <si>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</si>
  <si>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</si>
  <si>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</si>
  <si>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</si>
  <si>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</si>
  <si>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</si>
  <si>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</si>
  <si>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</si>
  <si>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</si>
  <si>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</si>
  <si>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</si>
  <si>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</si>
  <si>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</si>
  <si>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</si>
  <si>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</si>
  <si>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</si>
  <si>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</si>
  <si>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</si>
  <si>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</si>
  <si>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</si>
  <si>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</si>
  <si>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</si>
  <si>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</si>
  <si>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</si>
  <si>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</si>
  <si>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</si>
  <si>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</si>
  <si>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</si>
  <si>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</si>
  <si>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</si>
  <si>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</si>
  <si>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</si>
  <si>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</si>
  <si>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</si>
  <si>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</si>
  <si>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</si>
  <si>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</si>
  <si>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</si>
  <si>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</si>
  <si>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</si>
  <si>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</si>
  <si>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</si>
  <si>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</si>
  <si>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</si>
  <si>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</si>
  <si>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</si>
  <si>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</si>
  <si>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</si>
  <si>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</si>
  <si>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</si>
  <si>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</si>
  <si>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</si>
  <si>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</si>
  <si>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</si>
  <si>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</si>
  <si>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</si>
  <si>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</si>
  <si>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</si>
  <si>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</si>
  <si>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</si>
  <si>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</si>
  <si>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</si>
  <si>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</si>
  <si>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</si>
  <si>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</si>
  <si>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</si>
  <si>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</si>
  <si>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</si>
  <si>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</si>
  <si>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</si>
  <si>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</si>
  <si>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</si>
  <si>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</si>
  <si>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</si>
  <si>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</si>
  <si>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</si>
  <si>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</si>
  <si>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</si>
  <si>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</si>
  <si>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</si>
  <si>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</si>
  <si>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</si>
  <si>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</si>
  <si>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</si>
  <si>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</si>
  <si>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</si>
  <si>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</si>
  <si>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</si>
  <si>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</si>
  <si>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</si>
  <si>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</si>
  <si>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</si>
  <si>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</si>
  <si>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</si>
  <si>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</si>
  <si>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</si>
  <si>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</si>
  <si>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</si>
  <si>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</si>
  <si>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</si>
  <si>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</si>
  <si>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</si>
  <si>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</si>
  <si>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</si>
  <si>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</si>
  <si>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</si>
  <si>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</si>
  <si>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</si>
  <si>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</si>
  <si>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</si>
  <si>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</si>
  <si>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</si>
  <si>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</si>
  <si>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</si>
  <si>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</si>
  <si>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</si>
  <si>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</si>
  <si>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</si>
  <si>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</si>
  <si>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</si>
  <si>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</si>
  <si>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</si>
  <si>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</si>
  <si>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</si>
  <si>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</si>
  <si>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</si>
  <si>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</si>
  <si>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</si>
  <si>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</si>
  <si>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</si>
  <si>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</si>
  <si>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</si>
  <si>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</si>
  <si>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</si>
  <si>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</si>
  <si>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</si>
  <si>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</si>
  <si>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</si>
  <si>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</si>
  <si>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</si>
  <si>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</si>
  <si>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</si>
  <si>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</si>
  <si>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</si>
  <si>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</si>
  <si>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</si>
  <si>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</si>
  <si>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</si>
  <si>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</si>
  <si>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</si>
  <si>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</si>
  <si>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</si>
  <si>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</si>
  <si>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</si>
  <si>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</si>
  <si>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</si>
  <si>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</si>
  <si>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</si>
  <si>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</si>
  <si>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</si>
  <si>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</si>
  <si>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</si>
  <si>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</si>
  <si>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</si>
  <si>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</si>
  <si>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</si>
  <si>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</si>
  <si>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</si>
  <si>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</si>
  <si>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</si>
  <si>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</si>
  <si>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</si>
  <si>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</si>
  <si>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</si>
  <si>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</si>
  <si>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</si>
  <si>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</si>
  <si>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</si>
  <si>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</si>
  <si>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</si>
  <si>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</si>
  <si>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</si>
  <si>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</si>
  <si>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</si>
  <si>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</si>
  <si>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</si>
  <si>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</si>
  <si>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</si>
  <si>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</si>
  <si>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</si>
  <si>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</si>
  <si>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</si>
  <si>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</si>
  <si>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</si>
  <si>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</si>
  <si>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</si>
  <si>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</si>
  <si>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</si>
  <si>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</si>
  <si>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</si>
  <si>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</si>
  <si>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</si>
  <si>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</si>
  <si>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</si>
  <si>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</si>
  <si>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</si>
  <si>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</si>
  <si>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</si>
  <si>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</si>
  <si>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</si>
  <si>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</si>
  <si>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</si>
  <si>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</si>
  <si>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</si>
  <si>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</si>
  <si>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</si>
  <si>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</si>
  <si>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</si>
  <si>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</si>
  <si>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</si>
  <si>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</si>
  <si>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</si>
  <si>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</si>
  <si>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</si>
  <si>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</si>
  <si>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</si>
  <si>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</si>
  <si>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</si>
  <si>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</si>
  <si>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</si>
  <si>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</si>
  <si>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</si>
  <si>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</si>
  <si>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</si>
  <si>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</si>
  <si>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</si>
  <si>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</si>
  <si>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</si>
  <si>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</si>
  <si>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</si>
  <si>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</si>
  <si>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</si>
  <si>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</si>
  <si>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</si>
  <si>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</si>
  <si>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</si>
  <si>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</si>
  <si>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</si>
  <si>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</si>
  <si>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</si>
  <si>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</si>
  <si>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</si>
  <si>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</si>
  <si>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</si>
  <si>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</si>
  <si>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</si>
  <si>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</si>
  <si>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</si>
  <si>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</si>
  <si>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</si>
  <si>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</si>
  <si>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</si>
  <si>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</si>
  <si>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</si>
  <si>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</si>
  <si>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</si>
  <si>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</si>
  <si>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</si>
  <si>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</si>
  <si>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</si>
  <si>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</si>
  <si>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</si>
  <si>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</si>
  <si>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</si>
  <si>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</si>
  <si>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</si>
  <si>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</si>
  <si>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</si>
  <si>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</si>
  <si>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</si>
  <si>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</si>
  <si>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</si>
  <si>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</si>
  <si>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</si>
  <si>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</si>
  <si>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</si>
  <si>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</si>
  <si>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</si>
  <si>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</si>
  <si>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</si>
  <si>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</si>
  <si>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</si>
  <si>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</si>
  <si>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</si>
  <si>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</si>
  <si>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</si>
  <si>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</si>
  <si>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</si>
  <si>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</si>
  <si>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</si>
  <si>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</si>
  <si>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</si>
  <si>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</si>
  <si>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</si>
  <si>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</si>
  <si>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</si>
  <si>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</si>
  <si>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</si>
  <si>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</si>
  <si>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</si>
  <si>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</si>
  <si>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</si>
  <si>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</si>
  <si>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</si>
  <si>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</si>
  <si>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</si>
  <si>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</si>
  <si>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</si>
  <si>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</si>
  <si>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</si>
  <si>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</si>
  <si>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</si>
  <si>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</si>
  <si>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</si>
  <si>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</si>
  <si>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</si>
  <si>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</si>
  <si>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</si>
  <si>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</si>
  <si>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</si>
  <si>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</si>
  <si>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</si>
  <si>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</si>
  <si>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</si>
  <si>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</si>
  <si>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</si>
  <si>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</si>
  <si>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</si>
  <si>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</si>
  <si>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</si>
  <si>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</si>
  <si>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</si>
  <si>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</si>
  <si>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</si>
  <si>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</si>
  <si>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</si>
  <si>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</si>
  <si>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</si>
  <si>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</si>
  <si>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</si>
  <si>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</si>
  <si>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</si>
  <si>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</si>
  <si>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</si>
  <si>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</si>
  <si>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</si>
  <si>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</si>
  <si>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</si>
  <si>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</si>
  <si>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</si>
  <si>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</si>
  <si>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</si>
  <si>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</si>
  <si>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</si>
  <si>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</si>
  <si>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</si>
  <si>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</si>
  <si>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</si>
  <si>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</si>
  <si>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</si>
  <si>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</si>
  <si>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</si>
  <si>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</si>
  <si>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</si>
  <si>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</si>
  <si>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</si>
  <si>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</si>
  <si>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</si>
  <si>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</si>
  <si>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</si>
  <si>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</si>
  <si>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</si>
  <si>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</si>
  <si>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</si>
  <si>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</si>
  <si>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</si>
  <si>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</si>
  <si>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</si>
  <si>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</si>
  <si>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</si>
  <si>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</si>
  <si>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</si>
  <si>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</si>
  <si>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</si>
  <si>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</si>
  <si>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</si>
  <si>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</si>
  <si>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</si>
  <si>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</si>
  <si>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</si>
  <si>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</si>
  <si>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</si>
  <si>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</si>
  <si>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</si>
  <si>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</si>
  <si>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</si>
  <si>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</si>
  <si>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</si>
  <si>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</si>
  <si>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</si>
  <si>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</si>
  <si>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</si>
  <si>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</si>
  <si>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</si>
  <si>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</si>
  <si>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</si>
  <si>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</si>
  <si>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</si>
  <si>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</si>
  <si>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</si>
  <si>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</si>
  <si>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</si>
  <si>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</si>
  <si>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</si>
  <si>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</si>
  <si>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</si>
  <si>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</si>
  <si>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</si>
  <si>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</si>
  <si>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</si>
  <si>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</si>
  <si>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</si>
  <si>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</si>
  <si>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</si>
  <si>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</si>
  <si>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</si>
  <si>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</si>
  <si>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</si>
  <si>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</si>
  <si>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</si>
  <si>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</si>
  <si>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</si>
  <si>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</si>
  <si>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</si>
  <si>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</si>
  <si>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</si>
  <si>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</si>
  <si>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</si>
  <si>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</si>
  <si>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</si>
  <si>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</si>
  <si>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</si>
  <si>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</si>
  <si>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</si>
  <si>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</si>
  <si>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</si>
  <si>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</si>
  <si>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</si>
  <si>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</si>
  <si>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</si>
  <si>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</si>
  <si>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</si>
  <si>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</si>
  <si>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</si>
  <si>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</si>
  <si>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</si>
  <si>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</si>
  <si>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</si>
  <si>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</si>
  <si>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</si>
  <si>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</si>
  <si>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</si>
  <si>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</si>
  <si>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</si>
  <si>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</si>
  <si>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</si>
  <si>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</si>
  <si>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</si>
  <si>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</si>
  <si>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</si>
  <si>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</si>
  <si>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</si>
  <si>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</si>
  <si>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</si>
  <si>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</si>
  <si>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</si>
  <si>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</si>
  <si>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</si>
  <si>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</si>
  <si>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</si>
  <si>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</si>
  <si>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</si>
  <si>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</si>
  <si>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</si>
  <si>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</si>
  <si>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</si>
  <si>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</si>
  <si>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</si>
  <si>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</si>
  <si>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</si>
  <si>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</si>
  <si>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</si>
  <si>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</si>
  <si>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</si>
  <si>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</si>
  <si>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</si>
  <si>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</si>
  <si>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</si>
  <si>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</si>
  <si>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</si>
  <si>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</si>
  <si>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</si>
  <si>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</si>
  <si>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</si>
  <si>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</si>
  <si>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</si>
  <si>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</si>
  <si>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</si>
  <si>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</si>
  <si>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</si>
  <si>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</si>
  <si>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</si>
  <si>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</si>
  <si>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</si>
  <si>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</si>
  <si>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</si>
  <si>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</si>
  <si>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</si>
  <si>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</si>
  <si>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</si>
  <si>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</si>
  <si>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</si>
  <si>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</si>
  <si>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</si>
  <si>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</si>
  <si>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</si>
  <si>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</si>
  <si>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</si>
  <si>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</si>
  <si>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</si>
  <si>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</si>
  <si>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</si>
  <si>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</si>
  <si>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</si>
  <si>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</si>
  <si>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</si>
  <si>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</si>
  <si>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</si>
  <si>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</si>
  <si>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</si>
  <si>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</si>
  <si>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</si>
  <si>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</si>
  <si>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</si>
  <si>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</si>
  <si>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</si>
  <si>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</si>
  <si>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</si>
  <si>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</si>
  <si>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</si>
  <si>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</si>
  <si>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</si>
  <si>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</si>
  <si>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</si>
  <si>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</si>
  <si>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</si>
  <si>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</si>
  <si>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</si>
  <si>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</si>
  <si>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</si>
  <si>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</si>
  <si>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</si>
  <si>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</si>
  <si>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</si>
  <si>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</si>
  <si>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</si>
  <si>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</si>
  <si>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</si>
  <si>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</si>
  <si>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</si>
  <si>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</si>
  <si>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</si>
  <si>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</si>
  <si>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</si>
  <si>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</si>
  <si>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</si>
  <si>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</si>
  <si>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</si>
  <si>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</si>
  <si>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</si>
  <si>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</si>
  <si>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</si>
  <si>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</si>
  <si>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</si>
  <si>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</si>
  <si>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</si>
  <si>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</si>
  <si>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</si>
  <si>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</si>
  <si>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</si>
  <si>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</si>
  <si>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</si>
  <si>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</si>
  <si>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</si>
  <si>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</si>
  <si>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</si>
  <si>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</si>
  <si>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</si>
  <si>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</si>
  <si>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</si>
  <si>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</si>
  <si>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</si>
  <si>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</si>
  <si>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</si>
  <si>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</si>
  <si>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</si>
  <si>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</si>
  <si>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</si>
  <si>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</si>
  <si>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</si>
  <si>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</si>
  <si>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</si>
  <si>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</si>
  <si>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</si>
  <si>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</si>
  <si>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</si>
  <si>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</si>
  <si>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</si>
  <si>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</si>
  <si>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</si>
  <si>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</si>
  <si>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</si>
  <si>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</si>
  <si>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</si>
  <si>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</si>
  <si>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</si>
  <si>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</si>
  <si>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</si>
  <si>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</si>
  <si>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</si>
  <si>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</si>
  <si>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</si>
  <si>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</si>
  <si>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</si>
  <si>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</si>
  <si>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</si>
  <si>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</si>
  <si>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</si>
  <si>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</si>
  <si>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</si>
  <si>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</si>
  <si>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</si>
  <si>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</si>
  <si>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</si>
  <si>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</si>
  <si>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</si>
  <si>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</si>
  <si>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</si>
  <si>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</si>
  <si>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</si>
  <si>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</si>
  <si>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</si>
  <si>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</si>
  <si>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</si>
  <si>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</si>
  <si>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</si>
  <si>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</si>
  <si>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</si>
  <si>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</si>
  <si>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</si>
  <si>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</si>
  <si>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</si>
  <si>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</si>
  <si>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</si>
  <si>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</si>
  <si>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</si>
  <si>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</si>
  <si>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</si>
  <si>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</si>
  <si>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</si>
  <si>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</si>
  <si>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</si>
  <si>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</si>
  <si>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</si>
  <si>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</si>
  <si>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</si>
  <si>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</si>
  <si>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</si>
  <si>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</si>
  <si>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</si>
  <si>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</si>
  <si>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</si>
  <si>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</si>
  <si>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</si>
  <si>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</si>
  <si>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</si>
  <si>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</si>
  <si>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</si>
  <si>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</si>
  <si>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</si>
  <si>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</si>
  <si>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</si>
  <si>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</si>
  <si>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</si>
  <si>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</si>
  <si>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</si>
  <si>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</si>
  <si>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</si>
  <si>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</si>
  <si>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</si>
  <si>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</si>
  <si>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</si>
  <si>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</si>
  <si>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</si>
  <si>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</si>
  <si>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</si>
  <si>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</si>
  <si>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</si>
  <si>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</si>
  <si>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</si>
  <si>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</si>
  <si>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</si>
  <si>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</si>
  <si>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</si>
  <si>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</si>
  <si>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</si>
  <si>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</si>
  <si>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</si>
  <si>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</si>
  <si>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</si>
  <si>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</si>
  <si>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</si>
  <si>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</si>
  <si>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</si>
  <si>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</si>
  <si>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</si>
  <si>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</si>
  <si>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</si>
  <si>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</si>
  <si>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</si>
  <si>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</si>
  <si>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</si>
  <si>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</si>
  <si>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</si>
  <si>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</si>
  <si>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</si>
  <si>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</si>
  <si>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</si>
  <si>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</si>
  <si>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</si>
  <si>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</si>
  <si>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</si>
  <si>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</si>
  <si>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</si>
  <si>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</si>
  <si>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</si>
  <si>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</si>
  <si>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</si>
  <si>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</si>
  <si>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</si>
  <si>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</si>
  <si>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</si>
  <si>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</si>
  <si>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</si>
  <si>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</si>
  <si>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</si>
  <si>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</si>
  <si>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</si>
  <si>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</si>
  <si>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</si>
  <si>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</si>
  <si>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</si>
  <si>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</si>
  <si>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</si>
  <si>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</si>
  <si>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</si>
  <si>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</si>
  <si>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</si>
  <si>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</si>
  <si>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</si>
  <si>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</si>
  <si>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</si>
  <si>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</si>
  <si>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</si>
  <si>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</si>
  <si>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</si>
  <si>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</si>
  <si>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</si>
  <si>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</si>
  <si>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</si>
  <si>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</si>
  <si>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</si>
  <si>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</si>
  <si>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</si>
  <si>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</si>
  <si>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</si>
  <si>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</si>
  <si>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</si>
  <si>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</si>
  <si>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</si>
  <si>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</si>
  <si>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</si>
  <si>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</si>
  <si>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</si>
  <si>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</si>
  <si>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</si>
  <si>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</si>
  <si>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</si>
  <si>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</si>
  <si>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</si>
  <si>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</si>
  <si>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</si>
  <si>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</si>
  <si>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</si>
  <si>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</si>
  <si>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</si>
  <si>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</si>
  <si>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</si>
  <si>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</si>
  <si>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</si>
  <si>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</si>
  <si>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</si>
  <si>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</si>
  <si>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</si>
  <si>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</si>
  <si>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</si>
  <si>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</si>
  <si>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</si>
  <si>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</si>
  <si>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</si>
  <si>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</si>
  <si>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</si>
  <si>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</si>
  <si>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</si>
  <si>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</si>
  <si>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</si>
  <si>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</si>
  <si>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</si>
  <si>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</si>
  <si>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</si>
  <si>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</si>
  <si>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</si>
  <si>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</si>
  <si>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</si>
  <si>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</si>
  <si>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</si>
  <si>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</si>
  <si>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</si>
  <si>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</si>
  <si>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</si>
  <si>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</si>
  <si>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</si>
  <si>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</si>
  <si>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</si>
  <si>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</si>
  <si>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</si>
  <si>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</si>
  <si>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</si>
  <si>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</si>
  <si>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</si>
  <si>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</si>
  <si>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</si>
  <si>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</si>
  <si>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</si>
  <si>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</si>
  <si>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</si>
  <si>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</si>
  <si>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</si>
  <si>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</si>
  <si>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</si>
  <si>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</si>
  <si>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</si>
  <si>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</si>
  <si>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</si>
  <si>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</si>
  <si>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</si>
  <si>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</si>
  <si>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</si>
  <si>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</si>
  <si>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</si>
  <si>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</si>
  <si>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</si>
  <si>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</si>
  <si>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</si>
  <si>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</si>
  <si>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</si>
  <si>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</si>
  <si>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</si>
  <si>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</si>
  <si>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</si>
  <si>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</si>
  <si>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</si>
  <si>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</si>
  <si>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</si>
  <si>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</si>
  <si>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</si>
  <si>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</si>
  <si>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</si>
  <si>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</si>
  <si>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</si>
  <si>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</si>
  <si>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</si>
  <si>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</si>
  <si>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</si>
  <si>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</si>
  <si>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</si>
  <si>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</si>
  <si>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</si>
  <si>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</si>
  <si>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</si>
  <si>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</si>
  <si>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</si>
  <si>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</si>
  <si>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</si>
  <si>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</si>
  <si>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</si>
  <si>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</si>
  <si>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</si>
  <si>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</si>
  <si>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</si>
  <si>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</si>
  <si>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</si>
  <si>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</si>
  <si>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</si>
  <si>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</si>
  <si>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</si>
  <si>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</si>
  <si>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</si>
  <si>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</si>
  <si>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</si>
  <si>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</si>
  <si>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</si>
  <si>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</si>
  <si>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</si>
  <si>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</si>
  <si>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</si>
  <si>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</si>
  <si>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</si>
  <si>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</si>
  <si>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</si>
  <si>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</si>
  <si>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</si>
  <si>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</si>
  <si>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</si>
  <si>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</si>
  <si>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</si>
  <si>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</si>
  <si>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</si>
  <si>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</si>
  <si>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</si>
  <si>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</si>
  <si>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</si>
  <si>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</si>
  <si>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</si>
  <si>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</si>
  <si>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</si>
  <si>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</si>
  <si>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</si>
  <si>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</si>
  <si>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</si>
  <si>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</si>
  <si>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</si>
  <si>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</si>
  <si>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</si>
  <si>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</si>
  <si>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</si>
  <si>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</si>
  <si>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</si>
  <si>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</si>
  <si>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</si>
  <si>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</si>
  <si>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</si>
  <si>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</si>
  <si>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</si>
  <si>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</si>
  <si>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</si>
  <si>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</si>
  <si>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</si>
  <si>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</si>
  <si>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</si>
  <si>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</si>
  <si>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</si>
  <si>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</si>
  <si>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</si>
  <si>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</si>
  <si>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</si>
  <si>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</si>
  <si>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</si>
  <si>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</si>
  <si>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</si>
  <si>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</si>
  <si>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</si>
  <si>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</si>
  <si>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</si>
  <si>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</si>
  <si>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</si>
  <si>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</si>
  <si>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</si>
  <si>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</si>
  <si>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</si>
  <si>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</si>
  <si>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</si>
  <si>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</si>
  <si>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</si>
  <si>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</si>
  <si>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</si>
  <si>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</si>
  <si>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</si>
  <si>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</si>
  <si>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</si>
  <si>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</si>
  <si>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</si>
  <si>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</si>
  <si>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</si>
  <si>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</si>
  <si>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</si>
  <si>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</si>
  <si>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</si>
  <si>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</si>
  <si>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</si>
  <si>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</si>
  <si>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</si>
  <si>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</si>
  <si>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</si>
  <si>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</si>
  <si>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</si>
  <si>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</si>
  <si>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</si>
  <si>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</si>
  <si>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</si>
  <si>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</si>
  <si>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</si>
  <si>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</si>
  <si>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</si>
  <si>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</si>
  <si>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</si>
  <si>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</si>
  <si>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</si>
  <si>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</si>
  <si>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</si>
  <si>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</si>
  <si>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</si>
  <si>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</si>
  <si>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</si>
  <si>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</si>
  <si>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</si>
  <si>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</si>
  <si>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</si>
  <si>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</si>
  <si>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</si>
  <si>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</si>
  <si>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</si>
  <si>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</si>
  <si>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</si>
  <si>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</si>
  <si>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</si>
  <si>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</si>
  <si>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</si>
  <si>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</si>
  <si>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</si>
  <si>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</si>
  <si>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</si>
  <si>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</si>
  <si>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</si>
  <si>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</si>
  <si>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</si>
  <si>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</si>
  <si>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</si>
  <si>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</si>
  <si>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</si>
  <si>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</si>
  <si>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</si>
  <si>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</si>
  <si>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</si>
  <si>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</si>
  <si>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</si>
  <si>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</si>
  <si>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</si>
  <si>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</si>
  <si>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</si>
  <si>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</si>
  <si>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</si>
  <si>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</si>
  <si>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</si>
  <si>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</si>
  <si>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</si>
  <si>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</si>
  <si>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</si>
  <si>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</si>
  <si>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</si>
  <si>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</si>
  <si>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</si>
  <si>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</si>
  <si>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</si>
  <si>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</si>
  <si>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</si>
  <si>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</si>
  <si>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</si>
  <si>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</si>
  <si>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</si>
  <si>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</si>
  <si>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</si>
  <si>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</si>
  <si>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</si>
  <si>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</si>
  <si>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</si>
  <si>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</si>
  <si>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</si>
  <si>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</si>
  <si>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</si>
  <si>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</si>
  <si>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</si>
  <si>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</si>
  <si>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</si>
  <si>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</si>
  <si>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</si>
  <si>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</si>
  <si>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</si>
  <si>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</si>
  <si>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</si>
  <si>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</si>
  <si>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</si>
  <si>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</si>
  <si>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</si>
  <si>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</si>
  <si>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</si>
  <si>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</si>
  <si>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</si>
  <si>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</si>
  <si>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</si>
  <si>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</si>
  <si>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</si>
  <si>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</si>
  <si>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</si>
  <si>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</si>
  <si>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</si>
  <si>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</si>
  <si>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</si>
  <si>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</si>
  <si>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</si>
  <si>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</si>
  <si>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</si>
  <si>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</si>
  <si>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</si>
  <si>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</si>
  <si>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</si>
  <si>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</si>
  <si>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</si>
  <si>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</si>
  <si>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</si>
  <si>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</si>
  <si>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</si>
  <si>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</si>
  <si>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</si>
  <si>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</si>
  <si>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</si>
  <si>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</si>
  <si>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</si>
  <si>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</si>
  <si>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</si>
  <si>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</si>
  <si>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</si>
  <si>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</si>
  <si>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</si>
  <si>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</si>
  <si>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</si>
  <si>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</si>
  <si>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</si>
  <si>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</si>
  <si>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</si>
  <si>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</si>
  <si>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</si>
  <si>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</si>
  <si>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</si>
  <si>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</si>
  <si>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</si>
  <si>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</si>
  <si>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</si>
  <si>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</si>
  <si>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</si>
  <si>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</si>
  <si>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</si>
  <si>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</si>
  <si>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</si>
  <si>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</si>
  <si>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</si>
  <si>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</si>
  <si>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</si>
  <si>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</si>
  <si>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</si>
  <si>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</si>
  <si>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</si>
  <si>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</si>
  <si>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</si>
  <si>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</si>
  <si>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</si>
  <si>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</si>
  <si>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</si>
  <si>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</si>
  <si>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</si>
  <si>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</si>
  <si>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</si>
  <si>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</si>
  <si>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</si>
  <si>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</si>
  <si>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</si>
  <si>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</si>
  <si>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</si>
  <si>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</si>
  <si>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</si>
  <si>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</si>
  <si>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</si>
  <si>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</si>
  <si>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</si>
  <si>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</si>
  <si>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</si>
  <si>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</si>
  <si>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</si>
  <si>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</si>
  <si>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</si>
  <si>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</si>
  <si>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</si>
  <si>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</si>
  <si>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</si>
  <si>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</si>
  <si>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</si>
  <si>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</si>
  <si>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</si>
  <si>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</si>
  <si>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</si>
  <si>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</si>
  <si>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</si>
  <si>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</si>
  <si>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</si>
  <si>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</si>
  <si>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</si>
  <si>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</si>
  <si>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</si>
  <si>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</si>
  <si>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</si>
  <si>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</si>
  <si>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</si>
  <si>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</si>
  <si>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</si>
  <si>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</si>
  <si>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</si>
  <si>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</si>
  <si>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</si>
  <si>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</si>
  <si>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</si>
  <si>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</si>
  <si>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</si>
  <si>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</si>
  <si>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</si>
  <si>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</si>
  <si>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</si>
  <si>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</si>
  <si>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</si>
  <si>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</si>
  <si>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</si>
  <si>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</si>
  <si>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</si>
  <si>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</si>
  <si>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</si>
  <si>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</si>
  <si>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</si>
  <si>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</si>
  <si>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</si>
  <si>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</si>
  <si>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</si>
  <si>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</si>
  <si>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</si>
  <si>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</si>
  <si>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</si>
  <si>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</si>
  <si>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</si>
  <si>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</si>
  <si>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</si>
  <si>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</si>
  <si>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</si>
  <si>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</si>
  <si>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</si>
  <si>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</si>
  <si>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</si>
  <si>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</si>
  <si>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</si>
  <si>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</si>
  <si>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</si>
  <si>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</si>
  <si>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</si>
  <si>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</si>
  <si>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</si>
  <si>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</si>
  <si>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</si>
  <si>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</si>
  <si>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</si>
  <si>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</si>
  <si>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</si>
  <si>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</si>
  <si>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</si>
  <si>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</si>
  <si>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</si>
  <si>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</si>
  <si>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</si>
  <si>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</si>
  <si>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</si>
  <si>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</si>
  <si>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</si>
  <si>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</si>
  <si>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</si>
  <si>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</si>
  <si>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</si>
  <si>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</si>
  <si>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</si>
  <si>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</si>
  <si>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</si>
  <si>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</si>
  <si>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</si>
  <si>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</si>
  <si>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</si>
  <si>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</si>
  <si>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</si>
  <si>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</si>
  <si>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</si>
  <si>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</si>
  <si>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</si>
  <si>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</si>
  <si>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</si>
  <si>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</si>
  <si>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</si>
  <si>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</si>
  <si>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</si>
  <si>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</si>
  <si>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</si>
  <si>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</si>
  <si>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</si>
  <si>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</si>
  <si>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</si>
  <si>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</si>
  <si>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</si>
  <si>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</si>
  <si>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</si>
  <si>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</si>
  <si>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</si>
  <si>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</si>
  <si>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</si>
  <si>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</si>
  <si>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</si>
  <si>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</si>
  <si>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</si>
  <si>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</si>
  <si>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</si>
  <si>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</si>
  <si>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</si>
  <si>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</si>
  <si>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</si>
  <si>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</si>
  <si>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</si>
  <si>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</si>
  <si>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</si>
  <si>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</si>
  <si>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</si>
  <si>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</si>
  <si>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</si>
  <si>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</si>
  <si>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</si>
  <si>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</si>
  <si>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</si>
  <si>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</si>
  <si>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</si>
  <si>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</si>
  <si>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</si>
  <si>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</si>
  <si>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</si>
  <si>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</si>
  <si>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</si>
  <si>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</si>
  <si>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</si>
  <si>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</si>
  <si>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</si>
  <si>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</si>
  <si>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</si>
  <si>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</si>
  <si>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</si>
  <si>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</si>
  <si>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</si>
  <si>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</si>
  <si>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</si>
  <si>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</si>
  <si>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</si>
  <si>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</si>
  <si>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</si>
  <si>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</si>
  <si>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</si>
  <si>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</si>
  <si>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</si>
  <si>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</si>
  <si>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</si>
  <si>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</si>
  <si>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</si>
  <si>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</si>
  <si>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</si>
  <si>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</si>
  <si>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</si>
  <si>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</si>
  <si>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</si>
  <si>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</si>
  <si>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</si>
  <si>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</si>
  <si>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</si>
  <si>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</si>
  <si>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</si>
  <si>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</si>
  <si>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</si>
  <si>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</si>
  <si>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</si>
  <si>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</si>
  <si>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</si>
  <si>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</si>
  <si>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</si>
  <si>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</si>
  <si>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</si>
  <si>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</si>
  <si>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</si>
  <si>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</si>
  <si>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</si>
  <si>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</si>
  <si>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</si>
  <si>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</si>
  <si>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</si>
  <si>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</si>
  <si>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</si>
  <si>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</si>
  <si>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</si>
  <si>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</si>
  <si>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</si>
  <si>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</si>
  <si>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</si>
  <si>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</si>
  <si>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</si>
  <si>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</si>
  <si>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</si>
  <si>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</si>
  <si>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</si>
  <si>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</si>
  <si>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</si>
  <si>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</si>
  <si>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</si>
  <si>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</si>
  <si>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</si>
  <si>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</si>
  <si>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</si>
  <si>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</si>
  <si>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</si>
  <si>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</si>
  <si>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</si>
  <si>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</si>
  <si>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</si>
  <si>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</si>
  <si>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</si>
  <si>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</si>
  <si>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</si>
  <si>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</si>
  <si>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</si>
  <si>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</si>
  <si>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</si>
  <si>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</si>
  <si>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</si>
  <si>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</si>
  <si>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</si>
  <si>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</si>
  <si>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</si>
  <si>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</si>
  <si>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</si>
  <si>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</si>
  <si>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</si>
  <si>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</si>
  <si>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</si>
  <si>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</si>
  <si>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</si>
  <si>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</si>
  <si>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</si>
  <si>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</si>
  <si>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</si>
  <si>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</si>
  <si>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</si>
  <si>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</si>
  <si>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</si>
  <si>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</si>
  <si>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</si>
  <si>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</si>
  <si>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</si>
  <si>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</si>
  <si>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</si>
  <si>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</si>
  <si>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</si>
  <si>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</si>
  <si>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</si>
  <si>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</si>
  <si>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</si>
  <si>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</si>
  <si>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</si>
  <si>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</si>
  <si>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</si>
  <si>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</si>
  <si>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</si>
  <si>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</si>
  <si>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</si>
  <si>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</si>
  <si>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</si>
  <si>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</si>
  <si>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</si>
  <si>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</si>
  <si>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</si>
  <si>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</si>
  <si>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</si>
  <si>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</si>
  <si>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</si>
  <si>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</si>
  <si>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</si>
  <si>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</si>
  <si>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</si>
  <si>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</si>
  <si>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</si>
  <si>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</si>
  <si>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</si>
  <si>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</si>
  <si>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</si>
  <si>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</si>
  <si>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</si>
  <si>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</si>
  <si>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</si>
  <si>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</si>
  <si>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</si>
  <si>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</si>
  <si>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</si>
  <si>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</si>
  <si>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</si>
  <si>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</si>
  <si>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</si>
  <si>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</si>
  <si>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</si>
  <si>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</si>
  <si>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</si>
  <si>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</si>
  <si>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</si>
  <si>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</si>
  <si>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</si>
  <si>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</si>
  <si>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</si>
  <si>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</si>
  <si>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</si>
  <si>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</si>
  <si>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</si>
  <si>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</si>
  <si>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</si>
  <si>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</si>
  <si>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</si>
  <si>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</si>
  <si>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</si>
  <si>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</si>
  <si>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</si>
  <si>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</si>
  <si>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</si>
  <si>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</si>
  <si>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</si>
  <si>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</si>
  <si>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</si>
  <si>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</si>
  <si>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</si>
  <si>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</si>
  <si>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</si>
  <si>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</si>
  <si>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</si>
  <si>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</si>
  <si>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</si>
  <si>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</si>
  <si>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</si>
  <si>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</si>
  <si>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</si>
  <si>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</si>
  <si>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</si>
  <si>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</si>
  <si>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</si>
  <si>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</si>
  <si>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</si>
  <si>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</si>
  <si>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</si>
  <si>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</si>
  <si>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</si>
  <si>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</si>
  <si>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</si>
  <si>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</si>
  <si>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</si>
  <si>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</si>
  <si>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</si>
  <si>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</si>
  <si>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</si>
  <si>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</si>
  <si>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</si>
  <si>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</si>
  <si>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</si>
  <si>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</si>
  <si>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</si>
  <si>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</si>
  <si>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</si>
  <si>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</si>
  <si>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</si>
  <si>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</si>
  <si>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</si>
  <si>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</si>
  <si>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</si>
  <si>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</si>
  <si>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</si>
  <si>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</si>
  <si>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</si>
  <si>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</si>
  <si>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</si>
  <si>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</si>
  <si>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</si>
  <si>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</si>
  <si>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</si>
  <si>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</si>
  <si>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</si>
  <si>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</si>
  <si>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</si>
  <si>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</si>
  <si>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</si>
  <si>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</si>
  <si>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</si>
  <si>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</si>
  <si>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</si>
  <si>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</si>
  <si>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</si>
  <si>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</si>
  <si>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</si>
  <si>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</si>
  <si>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</si>
  <si>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</si>
  <si>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</si>
  <si>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</si>
  <si>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</si>
  <si>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</si>
  <si>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</si>
  <si>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</si>
  <si>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</si>
  <si>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</si>
  <si>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</si>
  <si>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</si>
  <si>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</si>
  <si>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</si>
  <si>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</si>
  <si>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</si>
  <si>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</si>
  <si>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</si>
  <si>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</si>
  <si>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</si>
  <si>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</si>
  <si>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</si>
  <si>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</si>
  <si>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</si>
  <si>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</si>
  <si>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</si>
  <si>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</si>
  <si>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</si>
  <si>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</si>
  <si>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</si>
  <si>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</si>
  <si>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</si>
  <si>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</si>
  <si>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</si>
  <si>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</si>
  <si>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</si>
  <si>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</si>
  <si>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</si>
  <si>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</si>
  <si>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</si>
  <si>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</si>
  <si>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</si>
  <si>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</si>
  <si>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</si>
  <si>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</si>
  <si>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</si>
  <si>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</si>
  <si>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</si>
  <si>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</si>
  <si>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</si>
  <si>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</si>
  <si>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</si>
  <si>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</si>
  <si>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</si>
  <si>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</si>
  <si>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</si>
  <si>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</si>
  <si>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</si>
  <si>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</si>
  <si>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</si>
  <si>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</si>
  <si>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</si>
  <si>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</si>
  <si>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</si>
  <si>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</si>
  <si>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</si>
  <si>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</si>
  <si>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</si>
  <si>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</si>
  <si>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</si>
  <si>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</si>
  <si>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</si>
  <si>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</si>
  <si>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</si>
  <si>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</si>
  <si>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</si>
  <si>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</si>
  <si>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</si>
  <si>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</si>
  <si>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</si>
  <si>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</si>
  <si>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</si>
  <si>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</si>
  <si>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</si>
  <si>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</si>
  <si>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</si>
  <si>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</si>
  <si>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</si>
  <si>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</si>
  <si>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</si>
  <si>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</si>
  <si>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</si>
  <si>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</si>
  <si>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</si>
  <si>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</si>
  <si>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</si>
  <si>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</si>
  <si>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</si>
  <si>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</si>
  <si>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</si>
  <si>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</si>
  <si>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</si>
  <si>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</si>
  <si>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</si>
  <si>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</si>
  <si>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</si>
  <si>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</si>
  <si>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</si>
  <si>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</si>
  <si>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</si>
  <si>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</si>
  <si>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</si>
  <si>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</si>
  <si>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</si>
  <si>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</si>
  <si>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</si>
  <si>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</si>
  <si>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</si>
  <si>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</si>
  <si>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</si>
  <si>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</si>
  <si>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</si>
  <si>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</si>
  <si>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</si>
  <si>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</si>
  <si>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</si>
  <si>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</si>
  <si>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</si>
  <si>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</si>
  <si>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</si>
  <si>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</si>
  <si>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</si>
  <si>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</si>
  <si>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</si>
  <si>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</si>
  <si>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</si>
  <si>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</si>
  <si>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</si>
  <si>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</si>
  <si>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</si>
  <si>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</si>
  <si>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</si>
  <si>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</si>
  <si>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</si>
  <si>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</si>
  <si>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</si>
  <si>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</si>
  <si>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</si>
  <si>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</si>
  <si>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</si>
  <si>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</si>
  <si>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</si>
  <si>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</si>
  <si>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</si>
  <si>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</si>
  <si>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</si>
  <si>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</si>
  <si>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</si>
  <si>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</si>
  <si>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</si>
  <si>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</si>
  <si>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</si>
  <si>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</si>
  <si>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</si>
  <si>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</si>
  <si>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</si>
  <si>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</si>
  <si>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</si>
  <si>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</si>
  <si>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</si>
  <si>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</si>
  <si>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</si>
  <si>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</si>
  <si>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</si>
  <si>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</si>
  <si>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</si>
  <si>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</si>
  <si>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</si>
  <si>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</si>
  <si>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</si>
  <si>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</si>
  <si>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</si>
  <si>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</si>
  <si>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</si>
  <si>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</si>
  <si>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</si>
  <si>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</si>
  <si>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</si>
  <si>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</si>
  <si>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</si>
  <si>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</si>
  <si>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</si>
  <si>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</si>
  <si>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</si>
  <si>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</si>
  <si>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</si>
  <si>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</si>
  <si>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</si>
  <si>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</si>
  <si>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</si>
  <si>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</si>
  <si>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</si>
  <si>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</si>
  <si>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</si>
  <si>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</si>
  <si>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</si>
  <si>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</si>
  <si>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</si>
  <si>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</si>
  <si>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</si>
  <si>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</si>
  <si>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</si>
  <si>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</si>
  <si>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</si>
  <si>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</si>
  <si>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</si>
  <si>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</si>
  <si>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</si>
  <si>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</si>
  <si>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</si>
  <si>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</si>
  <si>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</si>
  <si>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</si>
  <si>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</si>
  <si>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</si>
  <si>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</si>
  <si>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</si>
  <si>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</si>
  <si>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</si>
  <si>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</si>
  <si>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</si>
  <si>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</si>
  <si>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</si>
  <si>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</si>
  <si>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</si>
  <si>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</si>
  <si>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</si>
  <si>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</si>
  <si>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</si>
  <si>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</si>
  <si>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</si>
  <si>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</si>
  <si>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</si>
  <si>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</si>
  <si>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</si>
  <si>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</si>
  <si>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</si>
  <si>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</si>
  <si>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</si>
  <si>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</si>
  <si>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</si>
  <si>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</si>
  <si>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</si>
  <si>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</si>
  <si>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</si>
  <si>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</si>
  <si>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</si>
  <si>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</si>
  <si>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</si>
  <si>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</si>
  <si>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</si>
  <si>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</si>
  <si>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</si>
  <si>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</si>
  <si>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</si>
  <si>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</si>
  <si>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</si>
  <si>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</si>
  <si>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</si>
  <si>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</si>
  <si>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</si>
  <si>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</si>
  <si>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</si>
  <si>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</si>
  <si>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</si>
  <si>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</si>
  <si>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</si>
  <si>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</si>
  <si>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</si>
  <si>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</si>
  <si>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</si>
  <si>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</si>
  <si>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</si>
  <si>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</si>
  <si>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</si>
  <si>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</si>
  <si>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</si>
  <si>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</si>
  <si>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</si>
  <si>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</si>
  <si>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</si>
  <si>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</si>
  <si>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</si>
  <si>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</si>
  <si>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</si>
  <si>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</si>
  <si>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</si>
  <si>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</si>
  <si>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</si>
  <si>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</si>
  <si>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</si>
  <si>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</si>
  <si>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</si>
  <si>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</si>
  <si>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</si>
  <si>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</si>
  <si>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</si>
  <si>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</si>
  <si>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</si>
  <si>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</si>
  <si>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</si>
  <si>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</si>
  <si>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</si>
  <si>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</si>
  <si>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</si>
  <si>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</si>
  <si>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</si>
  <si>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</si>
  <si>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</si>
  <si>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</si>
  <si>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</si>
  <si>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</si>
  <si>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</si>
  <si>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</si>
  <si>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</si>
  <si>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</si>
  <si>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</si>
  <si>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</si>
  <si>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</si>
  <si>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</si>
  <si>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</si>
  <si>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</si>
  <si>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</si>
  <si>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</si>
  <si>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</si>
  <si>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</si>
  <si>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</si>
  <si>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</si>
  <si>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</si>
  <si>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</si>
  <si>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</si>
  <si>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</si>
  <si>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</si>
  <si>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</si>
  <si>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</si>
  <si>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</si>
  <si>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</si>
  <si>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</si>
  <si>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</si>
  <si>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</si>
  <si>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</si>
  <si>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</si>
  <si>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</si>
  <si>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</si>
  <si>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</si>
  <si>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</si>
  <si>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</si>
  <si>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</si>
  <si>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</si>
  <si>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</si>
  <si>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</si>
  <si>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</si>
  <si>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</si>
  <si>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</si>
  <si>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</si>
  <si>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</si>
  <si>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</si>
  <si>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</si>
  <si>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</si>
  <si>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</si>
  <si>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</si>
  <si>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</si>
  <si>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</si>
  <si>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</si>
  <si>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</si>
  <si>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</si>
  <si>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</si>
  <si>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</si>
  <si>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</si>
  <si>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</si>
  <si>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</si>
  <si>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</si>
  <si>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</si>
  <si>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</si>
  <si>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</si>
  <si>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</si>
  <si>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</si>
  <si>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</si>
  <si>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</si>
  <si>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</si>
  <si>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</si>
  <si>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</si>
  <si>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</si>
  <si>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</si>
  <si>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</si>
  <si>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</si>
  <si>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</si>
  <si>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</si>
  <si>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</si>
  <si>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</si>
  <si>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</si>
  <si>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</si>
  <si>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</si>
  <si>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</si>
  <si>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</si>
  <si>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</si>
  <si>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</si>
  <si>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</si>
  <si>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</si>
  <si>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</si>
  <si>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</si>
  <si>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</si>
  <si>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</si>
  <si>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</si>
  <si>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</si>
  <si>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</si>
  <si>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</si>
  <si>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</si>
  <si>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</si>
  <si>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</si>
  <si>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</si>
  <si>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</si>
  <si>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</si>
  <si>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</si>
  <si>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</si>
  <si>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</si>
  <si>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</si>
  <si>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</si>
  <si>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</si>
  <si>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</si>
  <si>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</si>
  <si>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</si>
  <si>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</si>
  <si>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</si>
  <si>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</si>
  <si>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</si>
  <si>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</si>
  <si>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</si>
  <si>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</si>
  <si>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</si>
  <si>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</si>
  <si>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</si>
  <si>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</si>
  <si>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</si>
  <si>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</si>
  <si>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</si>
  <si>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</si>
  <si>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</si>
  <si>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</si>
  <si>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</si>
  <si>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</si>
  <si>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</si>
  <si>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</si>
  <si>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</si>
  <si>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</si>
  <si>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</si>
  <si>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</si>
  <si>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</si>
  <si>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</si>
  <si>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</si>
  <si>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</si>
  <si>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</si>
  <si>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</si>
  <si>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</si>
  <si>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</si>
  <si>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</si>
  <si>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</si>
  <si>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</si>
  <si>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</si>
  <si>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</si>
  <si>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</si>
  <si>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</si>
  <si>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</si>
  <si>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</si>
  <si>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</si>
  <si>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</si>
  <si>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</si>
  <si>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</si>
  <si>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</si>
  <si>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</si>
  <si>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</si>
  <si>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</si>
  <si>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</si>
  <si>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</si>
  <si>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</si>
  <si>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</si>
  <si>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</si>
  <si>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</si>
  <si>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</si>
  <si>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</si>
  <si>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</si>
  <si>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</si>
  <si>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</si>
  <si>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</si>
  <si>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</si>
  <si>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</si>
  <si>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</si>
  <si>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</si>
  <si>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</si>
  <si>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</si>
  <si>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</si>
  <si>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</si>
  <si>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</si>
  <si>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</si>
  <si>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</si>
  <si>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</si>
  <si>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</si>
  <si>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</si>
  <si>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</si>
  <si>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</si>
  <si>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</si>
  <si>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</si>
  <si>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</si>
  <si>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</si>
  <si>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</si>
  <si>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</si>
  <si>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</si>
  <si>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</si>
  <si>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</si>
  <si>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</si>
  <si>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</si>
  <si>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</si>
  <si>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</si>
  <si>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</si>
  <si>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</si>
  <si>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</si>
  <si>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</si>
  <si>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</si>
  <si>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</si>
  <si>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</si>
  <si>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</si>
  <si>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</si>
  <si>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</si>
  <si>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</si>
  <si>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</si>
  <si>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</si>
  <si>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</si>
  <si>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</si>
  <si>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</si>
  <si>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</si>
  <si>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</si>
  <si>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</si>
  <si>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</si>
  <si>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</si>
  <si>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</si>
  <si>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</si>
  <si>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</si>
  <si>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</si>
  <si>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</si>
  <si>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</si>
  <si>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</si>
  <si>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</si>
  <si>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</si>
  <si>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</si>
  <si>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</si>
  <si>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</si>
  <si>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</si>
  <si>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</si>
  <si>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</si>
  <si>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</si>
  <si>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</si>
  <si>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</si>
  <si>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</si>
  <si>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</si>
  <si>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</si>
  <si>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</si>
  <si>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</si>
  <si>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</si>
  <si>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</si>
  <si>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</si>
  <si>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</si>
  <si>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</si>
  <si>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</si>
  <si>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</si>
  <si>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</si>
  <si>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</si>
  <si>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</si>
  <si>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</si>
  <si>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</si>
  <si>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</si>
  <si>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</si>
  <si>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</si>
  <si>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</si>
  <si>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</si>
  <si>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</si>
  <si>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</si>
  <si>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</si>
  <si>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</si>
  <si>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</si>
  <si>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</si>
  <si>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</si>
  <si>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</si>
  <si>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</si>
  <si>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</si>
  <si>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</si>
  <si>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</si>
  <si>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</si>
  <si>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</si>
  <si>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</si>
  <si>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</si>
  <si>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</si>
  <si>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</si>
  <si>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</si>
  <si>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</si>
  <si>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</si>
  <si>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</si>
  <si>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</si>
  <si>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</si>
  <si>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</si>
  <si>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</si>
  <si>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</si>
  <si>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</si>
  <si>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</si>
  <si>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</si>
  <si>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</si>
  <si>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</si>
  <si>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</si>
  <si>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</si>
  <si>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</si>
  <si>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</si>
  <si>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</si>
  <si>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</si>
  <si>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</si>
  <si>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</si>
  <si>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</si>
  <si>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</si>
  <si>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</si>
  <si>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</si>
  <si>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</si>
  <si>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</si>
  <si>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</si>
  <si>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</si>
  <si>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</si>
  <si>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</si>
  <si>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</si>
  <si>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</si>
  <si>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</si>
  <si>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</si>
  <si>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</si>
  <si>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</si>
  <si>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</si>
  <si>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</si>
  <si>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</si>
  <si>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</si>
  <si>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</si>
  <si>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</si>
  <si>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</si>
  <si>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</si>
  <si>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</si>
  <si>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</si>
  <si>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</si>
  <si>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</si>
  <si>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</si>
  <si>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</si>
  <si>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</si>
  <si>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</si>
  <si>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</si>
  <si>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</si>
  <si>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</si>
  <si>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</si>
  <si>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</si>
  <si>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</si>
  <si>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</si>
  <si>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</si>
  <si>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</si>
  <si>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</si>
  <si>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</si>
  <si>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</si>
  <si>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</si>
  <si>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</si>
  <si>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</si>
  <si>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</si>
  <si>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</si>
  <si>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</si>
  <si>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</si>
  <si>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</si>
  <si>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</si>
  <si>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</si>
  <si>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</si>
  <si>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</si>
  <si>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</si>
  <si>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</si>
  <si>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</si>
  <si>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</si>
  <si>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</si>
  <si>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</si>
  <si>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</si>
  <si>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</si>
  <si>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</si>
  <si>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</si>
  <si>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</si>
  <si>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</si>
  <si>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</si>
  <si>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</si>
  <si>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</si>
  <si>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</si>
  <si>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</si>
  <si>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</si>
  <si>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</si>
  <si>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</si>
  <si>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</si>
  <si>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</si>
  <si>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</si>
  <si>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</si>
  <si>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</si>
  <si>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</si>
  <si>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</si>
  <si>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</si>
  <si>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</si>
  <si>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</si>
  <si>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</si>
  <si>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</si>
  <si>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</si>
  <si>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</si>
  <si>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</si>
  <si>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</si>
  <si>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</si>
  <si>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</si>
  <si>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</si>
  <si>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</si>
  <si>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</si>
  <si>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</si>
  <si>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</si>
  <si>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</si>
  <si>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</si>
  <si>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</si>
  <si>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</si>
  <si>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</si>
  <si>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</si>
  <si>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</si>
  <si>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</si>
  <si>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</si>
  <si>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</si>
  <si>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</si>
  <si>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</si>
  <si>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</si>
  <si>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</si>
  <si>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</si>
  <si>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</si>
  <si>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</si>
  <si>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</si>
  <si>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</si>
  <si>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</si>
  <si>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</si>
  <si>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</si>
  <si>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</si>
  <si>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</si>
  <si>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</si>
  <si>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</si>
  <si>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</si>
  <si>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</si>
  <si>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</si>
  <si>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</si>
  <si>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</si>
  <si>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</si>
  <si>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</si>
  <si>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</si>
  <si>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</si>
  <si>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</si>
  <si>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</si>
  <si>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</si>
  <si>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</si>
  <si>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</si>
  <si>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</si>
  <si>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</si>
  <si>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</si>
  <si>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</si>
  <si>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</si>
  <si>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</si>
  <si>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</si>
  <si>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</si>
  <si>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</si>
  <si>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</si>
  <si>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</si>
  <si>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</si>
  <si>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</si>
  <si>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</si>
  <si>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</si>
  <si>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</si>
  <si>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</si>
  <si>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</si>
  <si>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</si>
  <si>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</si>
  <si>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</si>
  <si>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</si>
  <si>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</si>
  <si>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</si>
  <si>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</si>
  <si>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</si>
  <si>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</si>
  <si>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</si>
  <si>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</si>
  <si>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</si>
  <si>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</si>
  <si>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</si>
  <si>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</si>
  <si>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</si>
  <si>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</si>
  <si>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</si>
  <si>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</si>
  <si>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</si>
  <si>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</si>
  <si>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</si>
  <si>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</si>
  <si>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</si>
  <si>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</si>
  <si>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</si>
  <si>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</si>
  <si>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</si>
  <si>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</si>
  <si>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</si>
  <si>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</si>
  <si>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</si>
  <si>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</si>
  <si>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</si>
  <si>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</si>
  <si>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</si>
  <si>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</si>
  <si>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</si>
  <si>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</si>
  <si>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</si>
  <si>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</si>
  <si>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</si>
  <si>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</si>
  <si>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</si>
  <si>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</si>
  <si>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</si>
  <si>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</si>
  <si>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</si>
  <si>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</si>
  <si>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</si>
  <si>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</si>
  <si>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</si>
  <si>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</si>
  <si>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</si>
  <si>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</si>
  <si>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</si>
  <si>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</si>
  <si>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</si>
  <si>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</si>
  <si>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</si>
  <si>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</si>
  <si>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</si>
  <si>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</si>
  <si>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</si>
  <si>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</si>
  <si>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</si>
  <si>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</si>
  <si>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</si>
  <si>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</si>
  <si>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</si>
  <si>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</si>
  <si>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</si>
  <si>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</si>
  <si>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</si>
  <si>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</si>
  <si>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</si>
  <si>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</si>
  <si>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</si>
  <si>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</si>
  <si>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</si>
  <si>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</si>
  <si>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</si>
  <si>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</si>
  <si>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</si>
  <si>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</si>
  <si>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</si>
  <si>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</si>
  <si>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</si>
  <si>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</si>
  <si>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</si>
  <si>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</si>
  <si>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</si>
  <si>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</si>
  <si>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</si>
  <si>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</si>
  <si>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</si>
  <si>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</si>
  <si>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</si>
  <si>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</si>
  <si>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</si>
  <si>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</si>
  <si>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</si>
  <si>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</si>
  <si>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</si>
  <si>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</si>
  <si>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</si>
  <si>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</si>
  <si>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</si>
  <si>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</si>
  <si>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</si>
  <si>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</si>
  <si>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</si>
  <si>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</si>
  <si>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</si>
  <si>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</si>
  <si>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</si>
  <si>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</si>
  <si>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</si>
  <si>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</si>
  <si>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</si>
  <si>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</si>
  <si>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</si>
  <si>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</si>
  <si>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</si>
  <si>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</si>
  <si>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</si>
  <si>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</si>
  <si>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</si>
  <si>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</si>
  <si>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</si>
  <si>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</si>
  <si>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</si>
  <si>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</si>
  <si>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</si>
  <si>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</si>
  <si>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</si>
  <si>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</si>
  <si>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</si>
  <si>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</si>
  <si>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</si>
  <si>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</si>
  <si>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</si>
  <si>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</si>
  <si>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</si>
  <si>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</si>
  <si>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</si>
  <si>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</si>
  <si>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</si>
  <si>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</si>
  <si>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</si>
  <si>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</si>
  <si>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</si>
  <si>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</si>
  <si>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</si>
  <si>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</si>
  <si>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</si>
  <si>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</si>
  <si>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</si>
  <si>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</si>
  <si>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</si>
  <si>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</si>
  <si>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</si>
  <si>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</si>
  <si>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</si>
  <si>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</si>
  <si>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</si>
  <si>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</si>
  <si>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</si>
  <si>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</si>
  <si>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</si>
  <si>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</si>
  <si>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</si>
  <si>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</si>
  <si>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</si>
  <si>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</si>
  <si>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</si>
  <si>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</si>
  <si>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</si>
  <si>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</si>
  <si>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</si>
  <si>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</si>
  <si>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</si>
  <si>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</si>
  <si>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</si>
  <si>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</si>
  <si>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</si>
  <si>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</si>
  <si>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</si>
  <si>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</si>
  <si>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</si>
  <si>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</si>
  <si>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</si>
  <si>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</si>
  <si>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</si>
  <si>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</si>
  <si>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</si>
  <si>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</si>
  <si>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</si>
  <si>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</si>
  <si>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</si>
  <si>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</si>
  <si>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</si>
  <si>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</si>
  <si>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</si>
  <si>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</si>
  <si>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</si>
  <si>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</si>
  <si>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</si>
  <si>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</si>
  <si>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</si>
  <si>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</si>
  <si>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</si>
  <si>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</si>
  <si>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</si>
  <si>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</si>
  <si>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</si>
  <si>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</si>
  <si>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</si>
  <si>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</si>
  <si>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</si>
  <si>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</si>
  <si>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</si>
  <si>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</si>
  <si>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</si>
  <si>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</si>
  <si>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</si>
  <si>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</si>
  <si>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</si>
  <si>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</si>
  <si>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</si>
  <si>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</si>
  <si>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</si>
  <si>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</si>
  <si>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</si>
  <si>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</si>
  <si>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</si>
  <si>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</si>
  <si>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</si>
  <si>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</si>
  <si>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</si>
  <si>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</si>
  <si>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</si>
  <si>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</si>
  <si>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</si>
  <si>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</si>
  <si>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</si>
  <si>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</si>
  <si>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</si>
  <si>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</si>
  <si>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</si>
  <si>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</si>
  <si>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</si>
  <si>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</si>
  <si>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</si>
  <si>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</si>
  <si>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</si>
  <si>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</si>
  <si>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</si>
  <si>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</si>
  <si>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</si>
  <si>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</si>
  <si>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</si>
  <si>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</si>
  <si>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</si>
  <si>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</si>
  <si>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</si>
  <si>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</si>
  <si>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</si>
  <si>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</si>
  <si>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</si>
  <si>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</si>
  <si>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</si>
  <si>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</si>
  <si>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</si>
  <si>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</si>
  <si>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</si>
  <si>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</si>
  <si>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</si>
  <si>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</si>
  <si>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</si>
  <si>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</si>
  <si>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</si>
  <si>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</si>
  <si>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</si>
  <si>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</si>
  <si>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</si>
  <si>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</si>
  <si>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</si>
  <si>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</si>
  <si>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</si>
  <si>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</si>
  <si>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</si>
  <si>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</si>
  <si>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</si>
  <si>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</si>
  <si>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</si>
  <si>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</si>
  <si>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</si>
  <si>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</si>
  <si>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</si>
  <si>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</si>
  <si>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</si>
  <si>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</si>
  <si>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</si>
  <si>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</si>
  <si>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</si>
  <si>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</si>
  <si>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</si>
  <si>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</si>
  <si>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</si>
  <si>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</si>
  <si>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</si>
  <si>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</si>
  <si>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</si>
  <si>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</si>
  <si>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</si>
  <si>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</si>
  <si>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</si>
  <si>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</si>
  <si>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</si>
  <si>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</si>
  <si>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</si>
  <si>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</si>
  <si>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</si>
  <si>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</si>
  <si>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</si>
  <si>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</si>
  <si>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</si>
  <si>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</si>
  <si>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</si>
  <si>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</si>
  <si>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</si>
  <si>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</si>
  <si>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</si>
  <si>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</si>
  <si>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</si>
  <si>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</si>
  <si>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</si>
  <si>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</si>
  <si>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</si>
  <si>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</si>
  <si>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</si>
  <si>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</si>
  <si>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</si>
  <si>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</si>
  <si>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</si>
  <si>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</si>
  <si>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</si>
  <si>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</si>
  <si>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</si>
  <si>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</si>
  <si>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</si>
  <si>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</si>
  <si>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</si>
  <si>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</si>
  <si>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</si>
  <si>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</si>
  <si>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</si>
  <si>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</si>
  <si>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</si>
  <si>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</si>
  <si>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</si>
  <si>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</si>
  <si>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</si>
  <si>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</si>
  <si>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</si>
  <si>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</si>
  <si>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</si>
  <si>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</si>
  <si>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</si>
  <si>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</si>
  <si>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</si>
  <si>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</si>
  <si>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</si>
  <si>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</si>
  <si>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</si>
  <si>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</si>
  <si>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</si>
  <si>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</si>
  <si>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</si>
  <si>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</si>
  <si>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</si>
  <si>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</si>
  <si>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</si>
  <si>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</si>
  <si>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</si>
  <si>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</si>
  <si>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</si>
  <si>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</si>
  <si>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</si>
  <si>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</si>
  <si>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</si>
  <si>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</si>
  <si>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</si>
  <si>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</si>
  <si>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</si>
  <si>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</si>
  <si>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</si>
  <si>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</si>
  <si>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</si>
  <si>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</si>
  <si>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</si>
  <si>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</si>
  <si>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</si>
  <si>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</si>
  <si>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</si>
  <si>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</si>
  <si>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</si>
  <si>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</si>
  <si>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</si>
  <si>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</si>
  <si>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</si>
  <si>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</si>
  <si>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</si>
  <si>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</si>
  <si>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</si>
  <si>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</si>
  <si>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</si>
  <si>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</si>
  <si>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</si>
  <si>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</si>
  <si>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</si>
  <si>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</si>
  <si>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</si>
  <si>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</si>
  <si>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</si>
  <si>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</si>
  <si>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</si>
  <si>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</si>
  <si>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</si>
  <si>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</si>
  <si>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</si>
  <si>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</si>
  <si>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</si>
  <si>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</si>
  <si>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</si>
  <si>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</si>
  <si>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</si>
  <si>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</si>
  <si>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</si>
  <si>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</si>
  <si>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</si>
  <si>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</si>
  <si>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</si>
  <si>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</si>
  <si>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</si>
  <si>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</si>
  <si>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</si>
  <si>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</si>
  <si>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</si>
  <si>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</si>
  <si>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</si>
  <si>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</si>
  <si>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</si>
  <si>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</si>
  <si>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</si>
  <si>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</si>
  <si>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</si>
  <si>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</si>
  <si>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</si>
  <si>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</si>
  <si>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</si>
  <si>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</si>
  <si>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</si>
  <si>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</si>
  <si>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</si>
  <si>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</si>
  <si>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</si>
  <si>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</si>
  <si>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</si>
  <si>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</si>
  <si>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</si>
  <si>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</si>
  <si>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</si>
  <si>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</si>
  <si>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</si>
  <si>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</si>
  <si>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</si>
  <si>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</si>
  <si>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</si>
  <si>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</si>
  <si>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</si>
  <si>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</si>
  <si>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</si>
  <si>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</si>
  <si>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</si>
  <si>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</si>
  <si>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</si>
  <si>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</si>
  <si>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</si>
  <si>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</si>
  <si>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</si>
  <si>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</si>
  <si>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</si>
  <si>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</si>
  <si>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</si>
  <si>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</si>
  <si>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</si>
  <si>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</si>
  <si>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</si>
  <si>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</si>
  <si>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</si>
  <si>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</si>
  <si>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</si>
  <si>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</si>
  <si>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</si>
  <si>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</si>
  <si>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</si>
  <si>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</si>
  <si>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</si>
  <si>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</si>
  <si>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</si>
  <si>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</si>
  <si>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</si>
  <si>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</si>
  <si>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</si>
  <si>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</si>
  <si>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</si>
  <si>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</si>
  <si>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</si>
  <si>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</si>
  <si>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</si>
  <si>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</si>
  <si>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</si>
  <si>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</si>
  <si>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</si>
  <si>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</si>
  <si>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</si>
  <si>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</si>
  <si>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</si>
  <si>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</si>
  <si>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</si>
  <si>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</si>
  <si>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</si>
  <si>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</si>
  <si>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</si>
  <si>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</si>
  <si>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</si>
  <si>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</si>
  <si>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</si>
  <si>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</si>
  <si>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</si>
  <si>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</si>
  <si>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</si>
  <si>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</si>
  <si>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</si>
  <si>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</si>
  <si>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</si>
  <si>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</si>
  <si>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</si>
  <si>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</si>
  <si>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</si>
  <si>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</si>
  <si>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</si>
  <si>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</si>
  <si>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</si>
  <si>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</si>
  <si>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</si>
  <si>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</si>
  <si>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</si>
  <si>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</si>
  <si>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</si>
  <si>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</si>
  <si>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</si>
  <si>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</si>
  <si>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</si>
  <si>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</si>
  <si>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</si>
  <si>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</si>
  <si>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</si>
  <si>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</si>
  <si>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</si>
  <si>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</si>
  <si>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</si>
  <si>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</si>
  <si>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</si>
  <si>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</si>
  <si>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</si>
  <si>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</si>
  <si>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</si>
  <si>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</si>
  <si>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</si>
  <si>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</si>
  <si>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</si>
  <si>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</si>
  <si>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</si>
  <si>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</si>
  <si>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</si>
  <si>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</si>
  <si>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</si>
  <si>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</si>
  <si>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</si>
  <si>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</si>
  <si>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</si>
  <si>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</si>
  <si>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</si>
  <si>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</si>
  <si>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</si>
  <si>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</si>
  <si>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</si>
  <si>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</si>
  <si>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</si>
  <si>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</si>
  <si>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</si>
  <si>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</si>
  <si>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</si>
  <si>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</si>
  <si>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</si>
  <si>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</si>
  <si>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</si>
  <si>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</si>
  <si>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</si>
  <si>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</si>
  <si>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</si>
  <si>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</si>
  <si>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</si>
  <si>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</si>
  <si>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</si>
  <si>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</si>
  <si>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</si>
  <si>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</si>
  <si>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</si>
  <si>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</si>
  <si>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</si>
  <si>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</si>
  <si>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</si>
  <si>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</si>
  <si>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</si>
  <si>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</si>
  <si>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</si>
  <si>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</si>
  <si>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</si>
  <si>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</si>
  <si>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</si>
  <si>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</si>
  <si>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</si>
  <si>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</si>
  <si>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</si>
  <si>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</si>
  <si>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</si>
  <si>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</si>
  <si>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</si>
  <si>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</si>
  <si>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</si>
  <si>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</si>
  <si>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</si>
  <si>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</si>
  <si>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</si>
  <si>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</si>
  <si>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</si>
  <si>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</si>
  <si>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</si>
  <si>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</si>
  <si>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</si>
  <si>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</si>
  <si>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</si>
  <si>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</si>
  <si>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</si>
  <si>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</si>
  <si>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</si>
  <si>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</si>
  <si>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</si>
  <si>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</si>
  <si>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</si>
  <si>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</si>
  <si>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</si>
  <si>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</si>
  <si>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</si>
  <si>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</si>
  <si>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</si>
  <si>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</si>
  <si>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</si>
  <si>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</si>
  <si>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</si>
  <si>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</si>
  <si>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</si>
  <si>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</si>
  <si>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</si>
  <si>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</si>
  <si>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</si>
  <si>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</si>
  <si>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</si>
  <si>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</si>
  <si>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</si>
  <si>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</si>
  <si>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</si>
  <si>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</si>
  <si>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</si>
  <si>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</si>
  <si>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</si>
  <si>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</si>
  <si>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</si>
  <si>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</si>
  <si>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</si>
  <si>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</si>
  <si>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</si>
  <si>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</si>
  <si>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</si>
  <si>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</si>
  <si>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</si>
  <si>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</si>
  <si>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</si>
  <si>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</si>
  <si>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</si>
  <si>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</si>
  <si>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</si>
  <si>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</si>
  <si>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</si>
  <si>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</si>
  <si>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</si>
  <si>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</si>
  <si>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</si>
  <si>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</si>
  <si>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</si>
  <si>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</si>
  <si>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</si>
  <si>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</si>
  <si>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</si>
  <si>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</si>
  <si>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</si>
  <si>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</si>
  <si>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</si>
  <si>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</si>
  <si>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</si>
  <si>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</si>
  <si>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</si>
  <si>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</si>
  <si>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</si>
  <si>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</si>
  <si>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</si>
  <si>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</si>
  <si>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</si>
  <si>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</si>
  <si>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</si>
  <si>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</si>
  <si>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</si>
  <si>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</si>
  <si>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</si>
  <si>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</si>
  <si>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</si>
  <si>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</si>
  <si>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</si>
  <si>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</si>
  <si>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</si>
  <si>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</si>
  <si>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</si>
  <si>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</si>
  <si>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</si>
  <si>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</si>
  <si>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</si>
  <si>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</si>
  <si>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</si>
  <si>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</si>
  <si>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</si>
  <si>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</si>
  <si>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</si>
  <si>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</si>
  <si>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</si>
  <si>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</si>
  <si>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</si>
  <si>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</si>
  <si>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</si>
  <si>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</si>
  <si>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</si>
  <si>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</si>
  <si>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</si>
  <si>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</si>
  <si>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</si>
  <si>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</si>
  <si>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</si>
  <si>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</si>
  <si>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</si>
  <si>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</si>
  <si>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</si>
  <si>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</si>
  <si>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</si>
  <si>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</si>
  <si>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</si>
  <si>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</si>
  <si>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</si>
  <si>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</si>
  <si>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</si>
  <si>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</si>
  <si>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</si>
  <si>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</si>
  <si>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</si>
  <si>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</si>
  <si>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</si>
  <si>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</si>
  <si>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</si>
  <si>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</si>
  <si>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</si>
  <si>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</si>
  <si>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</si>
  <si>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</si>
  <si>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</si>
  <si>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</si>
  <si>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</si>
  <si>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</si>
  <si>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</si>
  <si>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</si>
  <si>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</si>
  <si>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</si>
  <si>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</si>
  <si>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</si>
  <si>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</si>
  <si>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</si>
  <si>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</si>
  <si>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</si>
  <si>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</si>
  <si>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</si>
  <si>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</si>
  <si>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</si>
  <si>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</si>
  <si>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</si>
  <si>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</si>
  <si>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</si>
  <si>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</si>
  <si>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</si>
  <si>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</si>
  <si>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</si>
  <si>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</si>
  <si>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</si>
  <si>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</si>
  <si>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</si>
  <si>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</si>
  <si>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</si>
  <si>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</si>
  <si>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</si>
  <si>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</si>
  <si>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</si>
  <si>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</si>
  <si>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</si>
  <si>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</si>
  <si>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</si>
  <si>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</si>
  <si>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</si>
  <si>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</si>
  <si>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</si>
  <si>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</si>
  <si>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</si>
  <si>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</si>
  <si>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</si>
  <si>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</si>
  <si>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</si>
  <si>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</si>
  <si>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</si>
  <si>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</si>
  <si>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</si>
  <si>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</si>
  <si>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</si>
  <si>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</si>
  <si>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</si>
  <si>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</si>
  <si>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</si>
  <si>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</si>
  <si>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</si>
  <si>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</si>
  <si>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</si>
  <si>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</si>
  <si>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</si>
  <si>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</si>
  <si>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</si>
  <si>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</si>
  <si>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</si>
  <si>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</si>
  <si>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</si>
  <si>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</si>
  <si>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</si>
  <si>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</si>
  <si>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</si>
  <si>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</si>
  <si>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</si>
  <si>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</si>
  <si>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</si>
  <si>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</si>
  <si>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</si>
  <si>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</si>
  <si>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</si>
  <si>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</si>
  <si>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</si>
  <si>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</si>
  <si>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</si>
  <si>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</si>
  <si>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</si>
  <si>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</si>
  <si>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</si>
  <si>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</si>
  <si>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</si>
  <si>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</si>
  <si>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</si>
  <si>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</si>
  <si>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</si>
  <si>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</si>
  <si>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</si>
  <si>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</si>
  <si>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</si>
  <si>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</si>
  <si>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</si>
  <si>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</si>
  <si>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</si>
  <si>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</si>
  <si>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</si>
  <si>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</si>
  <si>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</si>
  <si>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</si>
  <si>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</si>
  <si>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</si>
  <si>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</si>
  <si>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</si>
  <si>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</si>
  <si>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</si>
  <si>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</si>
  <si>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</si>
  <si>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</si>
  <si>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</si>
  <si>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</si>
  <si>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</si>
  <si>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</si>
  <si>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</si>
  <si>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</si>
  <si>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</si>
  <si>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</si>
  <si>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</si>
  <si>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</si>
  <si>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</si>
  <si>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</si>
  <si>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</si>
  <si>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</si>
  <si>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</si>
  <si>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</si>
  <si>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</si>
  <si>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</si>
  <si>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</si>
  <si>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</si>
  <si>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</si>
  <si>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</si>
  <si>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</si>
  <si>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</si>
  <si>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</si>
  <si>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</si>
  <si>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</si>
  <si>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</si>
  <si>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</si>
  <si>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</si>
  <si>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</si>
  <si>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</si>
  <si>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</si>
  <si>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</si>
  <si>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</si>
  <si>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</si>
  <si>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</si>
  <si>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</si>
  <si>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</si>
  <si>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</si>
  <si>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</si>
  <si>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</si>
  <si>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</si>
  <si>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</si>
  <si>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</si>
  <si>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</si>
  <si>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</si>
  <si>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</si>
  <si>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</si>
  <si>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</si>
  <si>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</si>
  <si>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</si>
  <si>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</si>
  <si>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</si>
  <si>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</si>
  <si>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</si>
  <si>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</si>
  <si>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</si>
  <si>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</si>
  <si>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</si>
  <si>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</si>
  <si>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</si>
  <si>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</si>
  <si>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</si>
  <si>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</si>
  <si>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</si>
  <si>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</si>
  <si>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</si>
  <si>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</si>
  <si>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</si>
  <si>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</si>
  <si>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</si>
  <si>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</si>
  <si>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</si>
  <si>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</si>
  <si>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</si>
  <si>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</si>
  <si>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</si>
  <si>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</si>
  <si>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</si>
  <si>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</si>
  <si>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</si>
  <si>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</si>
  <si>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</si>
  <si>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</si>
  <si>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</si>
  <si>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</si>
  <si>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</si>
  <si>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</si>
  <si>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</si>
  <si>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</si>
  <si>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</si>
  <si>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</si>
  <si>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</si>
  <si>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</si>
  <si>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</si>
  <si>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</si>
  <si>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</si>
  <si>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</si>
  <si>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</si>
  <si>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</si>
  <si>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</si>
  <si>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</si>
  <si>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</si>
  <si>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</si>
  <si>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</si>
  <si>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</si>
  <si>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</si>
  <si>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</si>
  <si>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</si>
  <si>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</si>
  <si>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</si>
  <si>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</si>
  <si>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</si>
  <si>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</si>
  <si>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</si>
  <si>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</si>
  <si>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</si>
  <si>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</si>
  <si>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</si>
  <si>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</si>
  <si>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</si>
  <si>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</si>
  <si>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</si>
  <si>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</si>
  <si>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</si>
  <si>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</si>
  <si>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</si>
  <si>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</si>
  <si>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</si>
  <si>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</si>
  <si>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</si>
  <si>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</si>
  <si>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</si>
  <si>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</si>
  <si>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</si>
  <si>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</si>
  <si>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</si>
  <si>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</si>
  <si>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</si>
  <si>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</si>
  <si>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</si>
  <si>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</si>
  <si>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</si>
  <si>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</si>
  <si>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</si>
  <si>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</si>
  <si>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</si>
  <si>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</si>
  <si>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</si>
  <si>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</si>
  <si>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</si>
  <si>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</si>
  <si>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</si>
  <si>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</si>
  <si>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</si>
  <si>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</si>
  <si>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</si>
  <si>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</si>
  <si>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</si>
  <si>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</si>
  <si>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</si>
  <si>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</si>
  <si>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</si>
  <si>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</si>
  <si>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</si>
  <si>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</si>
  <si>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</si>
  <si>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</si>
  <si>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</si>
  <si>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</si>
  <si>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</si>
  <si>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</si>
  <si>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</si>
  <si>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</si>
  <si>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</si>
  <si>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</si>
  <si>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</si>
  <si>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</si>
  <si>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</si>
  <si>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</si>
  <si>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</si>
  <si>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</si>
  <si>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</si>
  <si>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</si>
  <si>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</si>
  <si>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</si>
  <si>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</si>
  <si>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</si>
  <si>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</si>
  <si>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</si>
  <si>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</si>
  <si>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</si>
  <si>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</si>
  <si>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</si>
  <si>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</si>
  <si>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</si>
  <si>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</si>
  <si>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</si>
  <si>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</si>
  <si>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</si>
  <si>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</si>
  <si>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</si>
  <si>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</si>
  <si>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</si>
  <si>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</si>
  <si>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</si>
  <si>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</si>
  <si>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</si>
  <si>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</si>
  <si>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</si>
  <si>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</si>
  <si>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</si>
  <si>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</si>
  <si>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</si>
  <si>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</si>
  <si>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</si>
  <si>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</si>
  <si>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</si>
  <si>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</si>
  <si>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</si>
  <si>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</si>
  <si>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</si>
  <si>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</si>
  <si>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</si>
  <si>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</si>
  <si>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</si>
  <si>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</si>
  <si>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</si>
  <si>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</si>
  <si>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</si>
  <si>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</si>
  <si>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</si>
  <si>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</si>
  <si>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</si>
  <si>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</si>
  <si>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</si>
  <si>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</si>
  <si>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</si>
  <si>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</si>
  <si>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</si>
  <si>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</si>
  <si>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</si>
  <si>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</si>
  <si>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</si>
  <si>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</si>
  <si>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</si>
  <si>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</si>
  <si>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</si>
  <si>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</si>
  <si>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</si>
  <si>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</si>
  <si>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</si>
  <si>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</si>
  <si>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</si>
  <si>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</si>
  <si>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</si>
  <si>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</si>
  <si>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</si>
  <si>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</si>
  <si>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</si>
  <si>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</si>
  <si>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</si>
  <si>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</si>
  <si>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</si>
  <si>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</si>
  <si>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</si>
  <si>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</si>
  <si>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</si>
  <si>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</si>
  <si>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</si>
  <si>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</si>
  <si>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</si>
  <si>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</si>
  <si>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</si>
  <si>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</si>
  <si>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</si>
  <si>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</si>
  <si>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</si>
  <si>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</si>
  <si>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</si>
  <si>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</si>
  <si>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</si>
  <si>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</si>
  <si>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</si>
  <si>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</si>
  <si>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</si>
  <si>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</si>
  <si>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</si>
  <si>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</si>
  <si>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</si>
  <si>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</si>
  <si>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</si>
  <si>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</si>
  <si>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</si>
  <si>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</si>
  <si>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</si>
  <si>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</si>
  <si>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</si>
  <si>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</si>
  <si>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</si>
  <si>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</si>
  <si>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</si>
  <si>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</si>
  <si>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</si>
  <si>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</si>
  <si>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</si>
  <si>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</si>
  <si>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</si>
  <si>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</si>
  <si>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</si>
  <si>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</si>
  <si>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</si>
  <si>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</si>
  <si>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</si>
  <si>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</si>
  <si>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</si>
  <si>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</si>
  <si>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</si>
  <si>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</si>
  <si>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</si>
  <si>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</si>
  <si>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</si>
  <si>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</si>
  <si>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</si>
  <si>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</si>
  <si>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</si>
  <si>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</si>
  <si>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</si>
  <si>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</si>
  <si>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</si>
  <si>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</si>
  <si>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</si>
  <si>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</si>
  <si>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</si>
  <si>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</si>
  <si>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</si>
  <si>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</si>
  <si>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</si>
  <si>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</si>
  <si>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</si>
  <si>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</si>
  <si>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</si>
  <si>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</si>
  <si>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</si>
  <si>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</si>
  <si>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</si>
  <si>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</si>
  <si>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</si>
  <si>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</si>
  <si>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</si>
  <si>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</si>
  <si>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</si>
  <si>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</si>
  <si>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</si>
  <si>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</si>
  <si>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</si>
  <si>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</si>
  <si>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</si>
  <si>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</si>
  <si>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</si>
  <si>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</si>
  <si>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</si>
  <si>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</si>
  <si>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</si>
  <si>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</si>
  <si>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</si>
  <si>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</si>
  <si>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</si>
  <si>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</si>
  <si>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</si>
  <si>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</si>
  <si>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</si>
  <si>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</si>
  <si>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</si>
  <si>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</si>
  <si>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</si>
  <si>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</si>
  <si>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</si>
  <si>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</si>
  <si>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</si>
  <si>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</si>
  <si>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</si>
  <si>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</si>
  <si>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</si>
  <si>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</si>
  <si>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</si>
  <si>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</si>
  <si>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</si>
  <si>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</si>
  <si>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</si>
  <si>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</si>
  <si>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</si>
  <si>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</si>
  <si>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</si>
  <si>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</si>
  <si>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</si>
  <si>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</si>
  <si>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</si>
  <si>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</si>
  <si>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</si>
  <si>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</si>
  <si>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</si>
  <si>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</si>
  <si>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</si>
  <si>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</si>
  <si>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</si>
  <si>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</si>
  <si>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</si>
  <si>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</si>
  <si>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</si>
  <si>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</si>
  <si>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</si>
  <si>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</si>
  <si>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</si>
  <si>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</si>
  <si>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</si>
  <si>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</si>
  <si>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</si>
  <si>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</si>
  <si>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</si>
  <si>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</si>
  <si>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</si>
  <si>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</si>
  <si>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</si>
  <si>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</si>
  <si>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</si>
  <si>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</si>
  <si>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</si>
  <si>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</si>
  <si>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</si>
  <si>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</si>
  <si>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</si>
  <si>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</si>
  <si>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</si>
  <si>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</si>
  <si>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</si>
  <si>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</si>
  <si>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</si>
  <si>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</si>
  <si>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</si>
  <si>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</si>
  <si>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</si>
  <si>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</si>
  <si>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</si>
  <si>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</si>
  <si>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</si>
  <si>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</si>
  <si>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</si>
  <si>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</si>
  <si>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</si>
  <si>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</si>
  <si>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</si>
  <si>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</si>
  <si>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</si>
  <si>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</si>
  <si>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</si>
  <si>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</si>
  <si>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</si>
  <si>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</si>
  <si>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</si>
  <si>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</si>
  <si>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</si>
  <si>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</si>
  <si>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</si>
  <si>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</si>
  <si>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</si>
  <si>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</si>
  <si>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</si>
  <si>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</si>
  <si>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</si>
  <si>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</si>
  <si>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</si>
  <si>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</si>
  <si>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</si>
  <si>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</si>
  <si>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</si>
  <si>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</si>
  <si>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</si>
  <si>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</si>
  <si>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</si>
  <si>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</si>
  <si>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</si>
  <si>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</si>
  <si>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</si>
  <si>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</si>
  <si>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</si>
  <si>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</si>
  <si>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</si>
  <si>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</si>
  <si>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</si>
  <si>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</si>
  <si>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</si>
  <si>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</si>
  <si>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</si>
  <si>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</si>
  <si>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</si>
  <si>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</si>
  <si>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</si>
  <si>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</si>
  <si>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</si>
  <si>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</si>
  <si>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</si>
  <si>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</si>
  <si>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</si>
  <si>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</si>
  <si>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</si>
  <si>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</si>
  <si>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</si>
  <si>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</si>
  <si>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</si>
  <si>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</si>
  <si>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</si>
  <si>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</si>
  <si>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</si>
  <si>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</si>
  <si>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</si>
  <si>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</si>
  <si>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</si>
  <si>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</si>
  <si>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</si>
  <si>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</si>
  <si>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</si>
  <si>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</si>
  <si>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</si>
  <si>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</si>
  <si>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</si>
  <si>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</si>
  <si>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</si>
  <si>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</si>
  <si>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</si>
  <si>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</si>
  <si>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</si>
  <si>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</si>
  <si>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</si>
  <si>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</si>
  <si>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</si>
  <si>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</si>
  <si>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</si>
  <si>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</si>
  <si>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</si>
  <si>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</si>
  <si>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</si>
  <si>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</si>
  <si>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</si>
  <si>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</si>
  <si>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</si>
  <si>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</si>
  <si>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</si>
  <si>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</si>
  <si>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</si>
  <si>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</si>
  <si>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</si>
  <si>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</si>
  <si>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</si>
  <si>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</si>
  <si>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</si>
  <si>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</si>
  <si>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</si>
  <si>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</si>
  <si>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</si>
  <si>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</si>
  <si>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</si>
  <si>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</si>
  <si>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</si>
  <si>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</si>
  <si>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</si>
  <si>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</si>
  <si>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</si>
  <si>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</si>
  <si>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</si>
  <si>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</si>
  <si>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</si>
  <si>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</si>
  <si>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</si>
  <si>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</si>
  <si>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</si>
  <si>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</si>
  <si>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</si>
  <si>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</si>
  <si>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</si>
  <si>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</si>
  <si>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</si>
  <si>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</si>
  <si>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</si>
  <si>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</si>
  <si>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</si>
  <si>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</si>
  <si>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</si>
  <si>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</si>
  <si>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</si>
  <si>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</si>
  <si>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</si>
  <si>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</si>
  <si>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</si>
  <si>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</si>
  <si>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</si>
  <si>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</si>
  <si>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</si>
  <si>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</si>
  <si>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</si>
  <si>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</si>
  <si>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</si>
  <si>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</si>
  <si>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</si>
  <si>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</si>
  <si>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</si>
  <si>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</si>
  <si>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</si>
  <si>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</si>
  <si>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</si>
  <si>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</si>
  <si>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</si>
  <si>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</si>
  <si>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</si>
  <si>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</si>
  <si>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</si>
  <si>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</si>
  <si>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</si>
  <si>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</si>
  <si>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</si>
  <si>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</si>
  <si>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</si>
  <si>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</si>
  <si>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</si>
  <si>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</si>
  <si>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</si>
  <si>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</si>
  <si>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</si>
  <si>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</si>
  <si>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</si>
  <si>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</si>
  <si>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</si>
  <si>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</si>
  <si>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</si>
  <si>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</si>
  <si>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</si>
  <si>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</si>
  <si>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</si>
  <si>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</si>
  <si>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</si>
  <si>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</si>
  <si>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</si>
  <si>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</si>
  <si>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</si>
  <si>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</si>
  <si>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</si>
  <si>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</si>
  <si>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</si>
  <si>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</si>
  <si>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</si>
  <si>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</si>
  <si>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</si>
  <si>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</si>
  <si>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</si>
  <si>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</si>
  <si>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</si>
  <si>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</si>
  <si>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</si>
  <si>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</si>
  <si>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</si>
  <si>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</si>
  <si>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</si>
  <si>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</si>
  <si>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</si>
  <si>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</si>
  <si>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</si>
  <si>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</si>
  <si>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</si>
  <si>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</si>
  <si>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</si>
  <si>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</si>
  <si>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</si>
  <si>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</si>
  <si>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</si>
  <si>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</si>
  <si>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</si>
  <si>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</si>
  <si>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</si>
  <si>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</si>
  <si>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</si>
  <si>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</si>
  <si>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</si>
  <si>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</si>
  <si>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</si>
  <si>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</si>
  <si>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</si>
  <si>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</si>
  <si>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</si>
  <si>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</si>
  <si>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</si>
  <si>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</si>
  <si>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</si>
  <si>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</si>
  <si>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</si>
  <si>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</si>
  <si>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</si>
  <si>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</si>
  <si>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</si>
  <si>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</si>
  <si>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</si>
  <si>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</si>
  <si>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</si>
  <si>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</si>
  <si>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</si>
  <si>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</si>
  <si>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</si>
  <si>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</si>
  <si>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</si>
  <si>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</si>
  <si>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</si>
  <si>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</si>
  <si>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</si>
  <si>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</si>
  <si>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</si>
  <si>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</si>
  <si>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</si>
  <si>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</si>
  <si>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</si>
  <si>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</si>
  <si>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</si>
  <si>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</si>
  <si>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</si>
  <si>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</si>
  <si>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</si>
  <si>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</si>
  <si>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</si>
  <si>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</si>
  <si>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</si>
  <si>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</si>
  <si>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</si>
  <si>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</si>
  <si>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</si>
  <si>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</si>
  <si>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</si>
  <si>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</si>
  <si>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</si>
  <si>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</si>
  <si>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</si>
  <si>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</si>
  <si>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</si>
  <si>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</si>
  <si>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</si>
  <si>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</si>
  <si>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</si>
  <si>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</si>
  <si>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</si>
  <si>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</si>
  <si>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</si>
  <si>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</si>
  <si>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</si>
  <si>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</si>
  <si>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</si>
  <si>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</si>
  <si>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</si>
  <si>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</si>
  <si>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</si>
  <si>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</si>
  <si>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</si>
  <si>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</si>
  <si>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</si>
  <si>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</si>
  <si>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</si>
  <si>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</si>
  <si>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</si>
  <si>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</si>
  <si>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</si>
  <si>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</si>
  <si>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</si>
  <si>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</si>
  <si>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</si>
  <si>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</si>
  <si>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</si>
  <si>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</si>
  <si>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</si>
  <si>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</si>
  <si>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</si>
  <si>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</si>
  <si>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</si>
  <si>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</si>
  <si>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</si>
  <si>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</si>
  <si>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</si>
  <si>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</si>
  <si>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</si>
  <si>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</si>
  <si>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</si>
  <si>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</si>
  <si>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</si>
  <si>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</si>
  <si>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</si>
  <si>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</si>
  <si>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</si>
  <si>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</si>
  <si>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</si>
  <si>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</si>
  <si>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</si>
  <si>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</si>
  <si>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</si>
  <si>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</si>
  <si>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</si>
  <si>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</si>
  <si>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</si>
  <si>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</si>
  <si>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</si>
  <si>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</si>
  <si>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</si>
  <si>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</si>
  <si>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</si>
  <si>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</si>
  <si>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</si>
  <si>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</si>
  <si>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</si>
  <si>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</si>
  <si>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</si>
  <si>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</si>
  <si>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</si>
  <si>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</si>
  <si>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</si>
  <si>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</si>
  <si>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</si>
  <si>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</si>
  <si>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</si>
  <si>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</si>
  <si>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</si>
  <si>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</si>
  <si>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</si>
  <si>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</si>
  <si>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</si>
  <si>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</si>
  <si>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</si>
  <si>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</si>
  <si>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</si>
  <si>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</si>
  <si>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</si>
  <si>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</si>
  <si>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</si>
  <si>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</si>
  <si>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</si>
  <si>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</si>
  <si>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</si>
  <si>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</si>
  <si>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</si>
  <si>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</si>
  <si>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</si>
  <si>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</si>
  <si>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</si>
  <si>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</si>
  <si>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</si>
  <si>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</si>
  <si>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</si>
  <si>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</si>
  <si>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</si>
  <si>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</si>
  <si>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</si>
  <si>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</si>
  <si>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</si>
  <si>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</si>
  <si>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</si>
  <si>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</si>
  <si>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</si>
  <si>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</si>
  <si>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</si>
  <si>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</si>
  <si>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</si>
  <si>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</si>
  <si>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</si>
  <si>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</si>
  <si>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</si>
  <si>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</si>
  <si>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</si>
  <si>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</si>
  <si>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</si>
  <si>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</si>
  <si>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</si>
  <si>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</si>
  <si>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</si>
  <si>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</si>
  <si>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</si>
  <si>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</si>
  <si>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</si>
  <si>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</si>
  <si>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</si>
  <si>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</si>
  <si>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</si>
  <si>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</si>
  <si>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</si>
  <si>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</si>
  <si>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</si>
  <si>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</si>
  <si>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</si>
  <si>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</si>
  <si>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</si>
  <si>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</si>
  <si>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</si>
  <si>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</si>
  <si>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</si>
  <si>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</si>
  <si>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</si>
  <si>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</si>
  <si>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</si>
  <si>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</si>
  <si>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</si>
  <si>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</si>
  <si>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</si>
  <si>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</si>
  <si>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</si>
  <si>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</si>
  <si>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</si>
  <si>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</si>
  <si>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</si>
  <si>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</si>
  <si>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</si>
  <si>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</si>
  <si>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</si>
  <si>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</si>
  <si>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</si>
  <si>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</si>
  <si>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</si>
  <si>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</si>
  <si>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</si>
  <si>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</si>
  <si>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</si>
  <si>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</si>
  <si>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</si>
  <si>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</si>
  <si>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</si>
  <si>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</si>
  <si>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</si>
  <si>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</si>
  <si>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</si>
  <si>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</si>
  <si>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</si>
  <si>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</si>
  <si>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</si>
  <si>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</si>
  <si>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</si>
  <si>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</si>
  <si>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</si>
  <si>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</si>
  <si>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</si>
  <si>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</si>
  <si>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</si>
  <si>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</si>
  <si>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</si>
  <si>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</si>
  <si>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</si>
  <si>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</si>
  <si>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</si>
  <si>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</si>
  <si>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</si>
  <si>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</si>
  <si>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</si>
  <si>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</si>
  <si>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</si>
  <si>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</si>
  <si>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</si>
  <si>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</si>
  <si>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</si>
  <si>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</si>
  <si>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</si>
  <si>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</si>
  <si>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</si>
  <si>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</si>
  <si>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</si>
  <si>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</si>
  <si>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</si>
  <si>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</si>
  <si>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</si>
  <si>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</si>
  <si>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</si>
  <si>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</si>
  <si>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</si>
  <si>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</si>
  <si>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</si>
  <si>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</si>
  <si>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</si>
  <si>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</si>
  <si>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</si>
  <si>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</si>
  <si>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</si>
  <si>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</si>
  <si>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</si>
  <si>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</si>
  <si>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</si>
  <si>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</si>
  <si>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</si>
  <si>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</si>
  <si>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</si>
  <si>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</si>
  <si>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</si>
  <si>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</si>
  <si>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</si>
  <si>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</si>
  <si>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</si>
  <si>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</si>
  <si>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</si>
  <si>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</si>
  <si>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</si>
  <si>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</si>
  <si>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</si>
  <si>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</si>
  <si>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</si>
  <si>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</si>
  <si>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</si>
  <si>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</si>
  <si>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</si>
  <si>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</si>
  <si>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</si>
  <si>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</si>
  <si>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</si>
  <si>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</si>
  <si>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</si>
  <si>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</si>
  <si>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</si>
  <si>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</si>
  <si>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</si>
  <si>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</si>
  <si>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</si>
  <si>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</si>
  <si>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</si>
  <si>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</si>
  <si>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</si>
  <si>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</si>
  <si>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</si>
  <si>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</si>
  <si>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</si>
  <si>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</si>
  <si>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</si>
  <si>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</si>
  <si>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</si>
  <si>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</si>
  <si>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</si>
  <si>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</si>
  <si>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</si>
  <si>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</si>
  <si>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</si>
  <si>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</si>
  <si>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</si>
  <si>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</si>
  <si>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</si>
  <si>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</si>
  <si>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</si>
  <si>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</si>
  <si>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</si>
  <si>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</si>
  <si>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</si>
  <si>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</si>
  <si>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</si>
  <si>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</si>
  <si>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</si>
  <si>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</si>
  <si>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</si>
  <si>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</si>
  <si>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</si>
  <si>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</si>
  <si>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</si>
  <si>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</si>
  <si>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</si>
  <si>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</si>
  <si>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</si>
  <si>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</si>
  <si>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</si>
  <si>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</si>
  <si>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</si>
  <si>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</si>
  <si>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</si>
  <si>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</si>
  <si>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</si>
  <si>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</si>
  <si>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</si>
  <si>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</si>
  <si>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</si>
  <si>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</si>
  <si>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</si>
  <si>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</si>
  <si>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</si>
  <si>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</si>
  <si>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</si>
  <si>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</si>
  <si>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</si>
  <si>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</si>
  <si>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</si>
  <si>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</si>
  <si>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</si>
  <si>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</si>
  <si>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</si>
  <si>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</si>
  <si>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</si>
  <si>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</si>
  <si>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</si>
  <si>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</si>
  <si>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</si>
  <si>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</si>
  <si>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</si>
  <si>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</si>
  <si>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</si>
  <si>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</si>
  <si>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</si>
  <si>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</si>
  <si>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</si>
  <si>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</si>
  <si>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</si>
  <si>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</si>
  <si>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</si>
  <si>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</si>
  <si>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</si>
  <si>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</si>
  <si>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</si>
  <si>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</si>
  <si>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</si>
  <si>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</si>
  <si>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</si>
  <si>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</si>
  <si>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</si>
  <si>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</si>
  <si>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</si>
  <si>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</si>
  <si>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</si>
  <si>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</si>
  <si>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</si>
  <si>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</si>
  <si>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</si>
  <si>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</si>
  <si>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</si>
  <si>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</si>
  <si>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</si>
  <si>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</si>
  <si>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</si>
  <si>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</si>
  <si>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</si>
  <si>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</si>
  <si>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</si>
  <si>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</si>
  <si>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</si>
  <si>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</si>
  <si>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</si>
  <si>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</si>
  <si>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</si>
  <si>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</si>
  <si>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</si>
  <si>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</si>
  <si>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</si>
  <si>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</si>
  <si>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</si>
  <si>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</si>
  <si>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</si>
  <si>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</si>
  <si>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</si>
  <si>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</si>
  <si>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</si>
  <si>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</si>
  <si>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</si>
  <si>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</si>
  <si>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</si>
  <si>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</si>
  <si>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</si>
  <si>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</si>
  <si>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</si>
  <si>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</si>
  <si>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</si>
  <si>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</si>
  <si>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</si>
  <si>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</si>
  <si>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</si>
  <si>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</si>
  <si>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</si>
  <si>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</si>
  <si>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</si>
  <si>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</si>
  <si>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</si>
  <si>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</si>
  <si>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</si>
  <si>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</si>
  <si>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</si>
  <si>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</si>
  <si>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</si>
  <si>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</si>
  <si>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</si>
  <si>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</si>
  <si>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</si>
  <si>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</si>
  <si>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</si>
  <si>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</si>
  <si>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</si>
  <si>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</si>
  <si>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</si>
  <si>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</si>
  <si>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</si>
  <si>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</si>
  <si>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</si>
  <si>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</si>
  <si>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</si>
  <si>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</si>
  <si>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</si>
  <si>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</si>
  <si>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</si>
  <si>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</si>
  <si>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</si>
  <si>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</si>
  <si>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</si>
  <si>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</si>
  <si>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</si>
  <si>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</si>
  <si>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</si>
  <si>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</si>
  <si>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</si>
  <si>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</si>
  <si>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</si>
  <si>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</si>
  <si>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</si>
  <si>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</si>
  <si>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</si>
  <si>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</si>
  <si>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</si>
  <si>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</si>
  <si>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</si>
  <si>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</si>
  <si>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</si>
  <si>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</si>
  <si>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</si>
  <si>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</si>
  <si>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</si>
  <si>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</si>
  <si>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</si>
  <si>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</si>
  <si>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</si>
  <si>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</si>
  <si>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</si>
  <si>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</si>
  <si>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</si>
  <si>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</si>
  <si>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</si>
  <si>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</si>
  <si>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</si>
  <si>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</si>
  <si>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</si>
  <si>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</si>
  <si>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</si>
  <si>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</si>
  <si>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</si>
  <si>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</si>
  <si>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</si>
  <si>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</si>
  <si>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</si>
  <si>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</si>
  <si>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</si>
  <si>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</si>
  <si>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</si>
  <si>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</si>
  <si>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</si>
  <si>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</si>
  <si>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</si>
  <si>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</si>
  <si>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</si>
  <si>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</si>
  <si>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</si>
  <si>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</si>
  <si>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</si>
  <si>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</si>
  <si>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</si>
  <si>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</si>
  <si>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</si>
  <si>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</si>
  <si>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</si>
  <si>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</si>
  <si>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</si>
  <si>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</si>
  <si>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</si>
  <si>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</si>
  <si>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</si>
  <si>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</si>
  <si>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</si>
  <si>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</si>
  <si>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</si>
  <si>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</si>
  <si>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</si>
  <si>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</si>
  <si>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</si>
  <si>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</si>
  <si>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</si>
  <si>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</si>
  <si>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</si>
  <si>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</si>
  <si>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</si>
  <si>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</si>
  <si>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</si>
  <si>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</si>
  <si>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</si>
  <si>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</si>
  <si>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</si>
  <si>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</si>
  <si>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</si>
  <si>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</si>
  <si>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</si>
  <si>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</si>
  <si>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</si>
  <si>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</si>
  <si>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</si>
  <si>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</si>
  <si>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</si>
  <si>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</si>
  <si>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</si>
  <si>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</si>
  <si>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</si>
  <si>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</si>
  <si>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</si>
  <si>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</si>
  <si>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</si>
  <si>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</si>
  <si>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</si>
  <si>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</si>
  <si>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</si>
  <si>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</si>
  <si>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</si>
  <si>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</si>
  <si>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</si>
  <si>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</si>
  <si>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</si>
  <si>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</si>
  <si>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</si>
  <si>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</si>
  <si>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</si>
  <si>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</si>
  <si>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</si>
  <si>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</si>
  <si>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</si>
  <si>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</si>
  <si>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</si>
  <si>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</si>
  <si>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</si>
  <si>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</si>
  <si>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</si>
  <si>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</si>
  <si>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</si>
  <si>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</si>
  <si>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</si>
  <si>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</si>
  <si>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</si>
  <si>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</si>
  <si>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</si>
  <si>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</si>
  <si>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</si>
  <si>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</si>
  <si>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</si>
  <si>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</si>
  <si>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</si>
  <si>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</si>
  <si>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</si>
  <si>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</si>
  <si>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</si>
  <si>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</si>
  <si>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</si>
  <si>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</si>
  <si>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</si>
  <si>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</si>
  <si>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</si>
  <si>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</si>
  <si>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</si>
  <si>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</si>
  <si>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</si>
  <si>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</si>
  <si>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</si>
  <si>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</si>
  <si>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</si>
  <si>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</si>
  <si>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</si>
  <si>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</si>
  <si>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</si>
  <si>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</si>
  <si>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</si>
  <si>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</si>
  <si>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</si>
  <si>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</si>
  <si>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</si>
  <si>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</si>
  <si>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</si>
  <si>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</si>
  <si>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</si>
  <si>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</si>
  <si>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</si>
  <si>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</si>
  <si>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</si>
  <si>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</si>
  <si>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</si>
  <si>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</si>
  <si>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</si>
  <si>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</si>
  <si>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</si>
  <si>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</si>
  <si>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</si>
  <si>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</si>
  <si>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</si>
  <si>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</si>
  <si>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</si>
  <si>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</si>
  <si>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</si>
  <si>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</si>
  <si>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</si>
  <si>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</si>
  <si>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</si>
  <si>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</si>
  <si>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</si>
  <si>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</si>
  <si>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</si>
  <si>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</si>
  <si>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</si>
  <si>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</si>
  <si>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</si>
  <si>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</si>
  <si>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</si>
  <si>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</si>
  <si>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</si>
  <si>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</si>
  <si>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</si>
  <si>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</si>
  <si>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</si>
  <si>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</si>
  <si>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</si>
  <si>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</si>
  <si>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</si>
  <si>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</si>
  <si>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</si>
  <si>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</si>
  <si>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</si>
  <si>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</si>
  <si>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</si>
  <si>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</si>
  <si>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</si>
  <si>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</si>
  <si>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</si>
  <si>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</si>
  <si>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</si>
  <si>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</si>
  <si>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</si>
  <si>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</si>
  <si>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</si>
  <si>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</si>
  <si>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</si>
  <si>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</si>
  <si>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</si>
  <si>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</si>
  <si>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</si>
  <si>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</si>
  <si>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</si>
  <si>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</si>
  <si>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</si>
  <si>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</si>
  <si>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</si>
  <si>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</si>
  <si>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</si>
  <si>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</si>
  <si>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</si>
  <si>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</si>
  <si>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</si>
  <si>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</si>
  <si>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</si>
  <si>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</si>
  <si>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</si>
  <si>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</si>
  <si>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</si>
  <si>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</si>
  <si>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</si>
  <si>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</si>
  <si>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</si>
  <si>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</si>
  <si>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</si>
  <si>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</si>
  <si>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</si>
  <si>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</si>
  <si>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</si>
  <si>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</si>
  <si>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</si>
  <si>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</si>
  <si>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</si>
  <si>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</si>
  <si>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</si>
  <si>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</si>
  <si>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</si>
  <si>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</si>
  <si>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</si>
  <si>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</si>
  <si>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</si>
  <si>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</si>
  <si>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</si>
  <si>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</si>
  <si>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</si>
  <si>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</si>
  <si>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</si>
  <si>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</si>
  <si>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</si>
  <si>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</si>
  <si>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</si>
  <si>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</si>
  <si>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</si>
  <si>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</si>
  <si>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</si>
  <si>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</si>
  <si>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</si>
  <si>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</si>
  <si>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</si>
  <si>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</si>
  <si>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</si>
  <si>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</si>
  <si>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</si>
  <si>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</si>
  <si>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</si>
  <si>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</si>
  <si>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</si>
  <si>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</si>
  <si>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</si>
  <si>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</si>
  <si>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</si>
  <si>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</si>
  <si>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</si>
  <si>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</si>
  <si>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</si>
  <si>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</si>
  <si>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</si>
  <si>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</si>
  <si>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</si>
  <si>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</si>
  <si>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</si>
  <si>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</si>
  <si>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</si>
  <si>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</si>
  <si>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</si>
  <si>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</si>
  <si>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</si>
  <si>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</si>
  <si>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</si>
  <si>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</si>
  <si>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</si>
  <si>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</si>
  <si>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</si>
  <si>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</si>
  <si>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</si>
  <si>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</si>
  <si>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</si>
  <si>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</si>
  <si>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</si>
  <si>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</si>
  <si>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</si>
  <si>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</si>
  <si>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</si>
  <si>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</si>
  <si>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</si>
  <si>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</si>
  <si>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</si>
  <si>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</si>
  <si>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</si>
  <si>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</si>
  <si>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</si>
  <si>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</si>
  <si>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</si>
  <si>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</si>
  <si>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</si>
  <si>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</si>
  <si>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</si>
  <si>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</si>
  <si>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</si>
  <si>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</si>
  <si>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</si>
  <si>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</si>
  <si>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</si>
  <si>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</si>
  <si>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</si>
  <si>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</si>
  <si>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</si>
  <si>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</si>
  <si>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</si>
  <si>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</si>
  <si>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</si>
  <si>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</si>
  <si>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</si>
  <si>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</si>
  <si>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</si>
  <si>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</si>
  <si>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</si>
  <si>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</si>
  <si>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</si>
  <si>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</si>
  <si>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</si>
  <si>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</si>
  <si>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</si>
  <si>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</si>
  <si>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</si>
  <si>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</si>
  <si>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</si>
  <si>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</si>
  <si>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</si>
  <si>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</si>
  <si>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</si>
  <si>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</si>
  <si>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</si>
  <si>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</si>
  <si>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</si>
  <si>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</si>
  <si>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</si>
  <si>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</si>
  <si>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</si>
  <si>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</si>
  <si>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</si>
  <si>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</si>
  <si>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</si>
  <si>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</si>
  <si>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</si>
  <si>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</si>
  <si>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</si>
  <si>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</si>
  <si>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</si>
  <si>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</si>
  <si>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</si>
  <si>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</si>
  <si>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</si>
  <si>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</si>
  <si>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</si>
  <si>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</si>
  <si>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</si>
  <si>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</si>
  <si>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</si>
  <si>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</si>
  <si>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</si>
  <si>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</si>
  <si>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</si>
  <si>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</si>
  <si>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</si>
  <si>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</si>
  <si>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</si>
  <si>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</si>
  <si>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</si>
  <si>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</si>
  <si>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</si>
  <si>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</si>
  <si>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</si>
  <si>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</si>
  <si>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</si>
  <si>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</si>
  <si>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</si>
  <si>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</si>
  <si>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</si>
  <si>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</si>
  <si>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</si>
  <si>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</si>
  <si>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</si>
  <si>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</si>
  <si>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</si>
  <si>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</si>
  <si>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</si>
  <si>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</si>
  <si>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</si>
  <si>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</si>
  <si>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</si>
  <si>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</si>
  <si>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</si>
  <si>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</si>
  <si>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</si>
  <si>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</si>
  <si>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</si>
  <si>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</si>
  <si>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</si>
  <si>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</si>
  <si>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</si>
  <si>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</si>
  <si>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</si>
  <si>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</si>
  <si>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</si>
  <si>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</si>
  <si>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</si>
  <si>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</si>
  <si>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</si>
  <si>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</si>
  <si>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</si>
  <si>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</si>
  <si>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</si>
  <si>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</si>
  <si>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</si>
  <si>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</si>
  <si>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</si>
  <si>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</si>
  <si>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</si>
  <si>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</si>
  <si>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</si>
  <si>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</si>
  <si>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</si>
  <si>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</si>
  <si>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</si>
  <si>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</si>
  <si>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</si>
  <si>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</si>
  <si>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</si>
  <si>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</si>
  <si>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</si>
  <si>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</si>
  <si>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</si>
  <si>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</si>
  <si>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</si>
  <si>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</si>
  <si>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</si>
  <si>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</si>
  <si>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</si>
  <si>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</si>
  <si>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</si>
  <si>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</si>
  <si>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</si>
  <si>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</si>
  <si>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</si>
  <si>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</si>
  <si>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</si>
  <si>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</si>
  <si>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</si>
  <si>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</si>
  <si>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</si>
  <si>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</si>
  <si>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</si>
  <si>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</si>
  <si>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</si>
  <si>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</si>
  <si>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</si>
  <si>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</si>
  <si>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</si>
  <si>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</si>
  <si>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</si>
  <si>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</si>
  <si>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</si>
  <si>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</si>
  <si>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</si>
  <si>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</si>
  <si>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</si>
  <si>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</si>
  <si>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</si>
  <si>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</si>
  <si>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</si>
  <si>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</si>
  <si>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</si>
  <si>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</si>
  <si>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</si>
  <si>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</si>
  <si>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</si>
  <si>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</si>
  <si>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</si>
  <si>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</si>
  <si>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</si>
  <si>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</si>
  <si>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</si>
  <si>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</si>
  <si>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</si>
  <si>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</si>
  <si>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</si>
  <si>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</si>
  <si>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</si>
  <si>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</si>
  <si>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</si>
  <si>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</si>
  <si>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</si>
  <si>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</si>
  <si>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</si>
  <si>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</si>
  <si>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</si>
  <si>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</si>
  <si>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</si>
  <si>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</si>
  <si>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</si>
  <si>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</si>
  <si>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</si>
  <si>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</si>
  <si>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</si>
  <si>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</si>
  <si>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</si>
  <si>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</si>
  <si>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</si>
  <si>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</si>
  <si>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</si>
  <si>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</si>
  <si>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</si>
  <si>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</si>
  <si>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</si>
  <si>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</si>
  <si>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</si>
  <si>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</si>
  <si>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</si>
  <si>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</si>
  <si>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</si>
  <si>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</si>
  <si>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</si>
  <si>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</si>
  <si>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</si>
  <si>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</si>
  <si>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</si>
  <si>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</si>
  <si>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</si>
  <si>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</si>
  <si>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</si>
  <si>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</si>
  <si>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</si>
  <si>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</si>
  <si>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</si>
  <si>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</si>
  <si>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</si>
  <si>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</si>
  <si>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</si>
  <si>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</si>
  <si>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</si>
  <si>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</si>
  <si>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</si>
  <si>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</si>
  <si>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</si>
  <si>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</si>
  <si>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</si>
  <si>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</si>
  <si>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</si>
  <si>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</si>
  <si>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</si>
  <si>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</si>
  <si>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</si>
  <si>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</si>
  <si>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</si>
  <si>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</si>
  <si>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</si>
  <si>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</si>
  <si>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</si>
  <si>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</si>
  <si>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</si>
  <si>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</si>
  <si>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</si>
  <si>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</si>
  <si>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</si>
  <si>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</si>
  <si>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</si>
  <si>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</si>
  <si>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</si>
  <si>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</si>
  <si>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</si>
  <si>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</si>
  <si>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</si>
  <si>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</si>
  <si>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</si>
  <si>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</si>
  <si>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</si>
  <si>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</si>
  <si>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</si>
  <si>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</si>
  <si>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</si>
  <si>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</si>
  <si>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</si>
  <si>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</si>
  <si>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</si>
  <si>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</si>
  <si>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</si>
  <si>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</si>
  <si>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</si>
  <si>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</si>
  <si>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</si>
  <si>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</si>
  <si>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</si>
  <si>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</si>
  <si>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</si>
  <si>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</si>
  <si>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</si>
  <si>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</si>
  <si>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</si>
  <si>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</si>
  <si>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</si>
  <si>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</si>
  <si>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</si>
  <si>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</si>
  <si>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</si>
  <si>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</si>
  <si>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</si>
  <si>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</si>
  <si>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</si>
  <si>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</si>
  <si>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</si>
  <si>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</si>
  <si>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</si>
  <si>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</si>
  <si>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</si>
  <si>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</si>
  <si>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</si>
  <si>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</si>
  <si>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</si>
  <si>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</si>
  <si>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</si>
  <si>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</si>
  <si>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</si>
  <si>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</si>
  <si>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</si>
  <si>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</si>
  <si>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</si>
  <si>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</si>
  <si>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</si>
  <si>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</si>
  <si>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</si>
  <si>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</si>
  <si>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</si>
  <si>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</si>
  <si>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</si>
  <si>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</si>
  <si>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</si>
  <si>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</si>
  <si>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</si>
  <si>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</si>
  <si>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</si>
  <si>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</si>
  <si>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</si>
  <si>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</si>
  <si>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</si>
  <si>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</si>
  <si>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</si>
  <si>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</si>
  <si>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</si>
  <si>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</si>
  <si>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</si>
  <si>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</si>
  <si>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</si>
  <si>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</si>
  <si>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</si>
  <si>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</si>
  <si>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</si>
  <si>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</si>
  <si>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</si>
  <si>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</si>
  <si>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</si>
  <si>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</si>
  <si>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</si>
  <si>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</si>
  <si>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</si>
  <si>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</si>
  <si>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</si>
  <si>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</si>
  <si>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</si>
  <si>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</si>
  <si>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</si>
  <si>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</si>
  <si>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</si>
  <si>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</si>
  <si>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</si>
  <si>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</si>
  <si>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</si>
  <si>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</si>
  <si>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</si>
  <si>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</si>
  <si>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</si>
  <si>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</si>
  <si>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</si>
  <si>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</si>
  <si>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</si>
  <si>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</si>
  <si>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</si>
  <si>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</si>
  <si>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</si>
  <si>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</si>
  <si>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</si>
  <si>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</si>
  <si>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</si>
  <si>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</si>
  <si>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</si>
  <si>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</si>
  <si>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</si>
  <si>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</si>
  <si>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</si>
  <si>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</si>
  <si>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</si>
  <si>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</si>
  <si>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</si>
  <si>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</si>
  <si>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</si>
  <si>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</si>
  <si>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</si>
  <si>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</si>
  <si>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</si>
  <si>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</si>
  <si>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</si>
  <si>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</si>
  <si>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</si>
  <si>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</si>
  <si>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</si>
  <si>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</si>
  <si>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</si>
  <si>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</si>
  <si>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</si>
  <si>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</si>
  <si>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</si>
  <si>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</si>
  <si>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</si>
  <si>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</si>
  <si>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</si>
  <si>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</si>
  <si>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</si>
  <si>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</si>
  <si>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</si>
  <si>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</si>
  <si>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</si>
  <si>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</si>
  <si>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</si>
  <si>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</si>
  <si>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</si>
  <si>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</si>
  <si>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</si>
  <si>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</si>
  <si>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</si>
  <si>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</si>
  <si>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</si>
  <si>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</si>
  <si>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</si>
  <si>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</si>
  <si>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</si>
  <si>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</si>
  <si>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</si>
  <si>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</si>
  <si>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</si>
  <si>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</si>
  <si>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</si>
  <si>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</si>
  <si>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</si>
  <si>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</si>
  <si>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</si>
  <si>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</si>
  <si>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</si>
  <si>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</si>
  <si>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</si>
  <si>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</si>
  <si>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</si>
  <si>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</si>
  <si>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</si>
  <si>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</si>
  <si>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</si>
  <si>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</si>
  <si>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</si>
  <si>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</si>
  <si>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</si>
  <si>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</si>
  <si>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</si>
  <si>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</si>
  <si>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</si>
  <si>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</si>
  <si>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</si>
  <si>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</si>
  <si>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</si>
  <si>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</si>
  <si>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</si>
  <si>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</si>
  <si>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</si>
  <si>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</si>
  <si>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</si>
  <si>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</si>
  <si>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</si>
  <si>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</si>
  <si>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</si>
  <si>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</si>
  <si>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</si>
  <si>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</si>
  <si>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</si>
  <si>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</si>
  <si>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</si>
  <si>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</si>
  <si>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</si>
  <si>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</si>
  <si>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</si>
  <si>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</si>
  <si>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</si>
  <si>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</si>
  <si>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</si>
  <si>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</si>
  <si>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</si>
  <si>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</si>
  <si>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</si>
  <si>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</si>
  <si>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</si>
  <si>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</si>
  <si>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</si>
  <si>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</si>
  <si>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</si>
  <si>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</si>
  <si>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</si>
  <si>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</si>
  <si>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</si>
  <si>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</si>
  <si>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</si>
  <si>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</si>
  <si>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</si>
  <si>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</si>
  <si>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</si>
  <si>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</si>
  <si>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</si>
  <si>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</si>
  <si>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</si>
  <si>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</si>
  <si>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</si>
  <si>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</si>
  <si>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</si>
  <si>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</si>
  <si>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</si>
  <si>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</si>
  <si>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</si>
  <si>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</si>
  <si>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</si>
  <si>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</si>
  <si>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</si>
  <si>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</si>
  <si>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</si>
  <si>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</si>
  <si>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</si>
  <si>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</si>
  <si>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</si>
  <si>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</si>
  <si>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</si>
  <si>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</si>
  <si>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</si>
  <si>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</si>
  <si>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</si>
  <si>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</si>
  <si>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</si>
  <si>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</si>
  <si>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</si>
  <si>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</si>
  <si>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</si>
  <si>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</si>
  <si>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</si>
  <si>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</si>
  <si>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</si>
  <si>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</si>
  <si>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</si>
  <si>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</si>
  <si>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</si>
  <si>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</si>
  <si>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</si>
  <si>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</si>
  <si>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</si>
  <si>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</si>
  <si>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</si>
  <si>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</si>
  <si>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</si>
  <si>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</si>
  <si>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</si>
  <si>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</si>
  <si>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</si>
  <si>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</si>
  <si>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</si>
  <si>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</si>
  <si>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</si>
  <si>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</si>
  <si>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</si>
  <si>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</si>
  <si>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</si>
  <si>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</si>
  <si>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</si>
  <si>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</si>
  <si>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</si>
  <si>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</si>
  <si>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</si>
  <si>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</si>
  <si>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</si>
  <si>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</si>
  <si>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</si>
  <si>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</si>
  <si>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</si>
  <si>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</si>
  <si>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</si>
  <si>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</si>
  <si>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</si>
  <si>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</si>
  <si>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</si>
  <si>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</si>
  <si>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</si>
  <si>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</si>
  <si>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</si>
  <si>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</si>
  <si>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</si>
  <si>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</si>
  <si>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</si>
  <si>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</si>
  <si>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</si>
  <si>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</si>
  <si>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</si>
  <si>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</si>
  <si>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</si>
  <si>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</si>
  <si>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</si>
  <si>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</si>
  <si>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</si>
  <si>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</si>
  <si>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</si>
  <si>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</si>
  <si>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</si>
  <si>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</si>
  <si>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</si>
  <si>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</si>
  <si>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</si>
  <si>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</si>
  <si>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</si>
  <si>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</si>
  <si>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</si>
  <si>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</si>
  <si>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</si>
  <si>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</si>
  <si>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</si>
  <si>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</si>
  <si>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</si>
  <si>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</si>
  <si>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</si>
  <si>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</si>
  <si>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</si>
  <si>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</si>
  <si>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</si>
  <si>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</si>
  <si>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</si>
  <si>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</si>
  <si>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</si>
  <si>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</si>
  <si>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</si>
  <si>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</si>
  <si>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</si>
  <si>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</si>
  <si>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</si>
  <si>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</si>
  <si>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</si>
  <si>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</si>
  <si>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</si>
  <si>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</si>
  <si>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</si>
  <si>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</si>
  <si>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</si>
  <si>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</si>
  <si>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</si>
  <si>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</si>
  <si>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</si>
  <si>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</si>
  <si>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</si>
  <si>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</si>
  <si>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</si>
  <si>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</si>
  <si>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</si>
  <si>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</si>
  <si>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</si>
  <si>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</si>
  <si>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</si>
  <si>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</si>
  <si>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</si>
  <si>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</si>
  <si>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</si>
  <si>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</si>
  <si>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</si>
  <si>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</si>
  <si>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</si>
  <si>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</si>
  <si>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</si>
  <si>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</si>
  <si>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</si>
  <si>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</si>
  <si>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</si>
  <si>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</si>
  <si>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</si>
  <si>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</si>
  <si>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</si>
  <si>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</si>
  <si>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</si>
  <si>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</si>
  <si>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</si>
  <si>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</si>
  <si>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</si>
  <si>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</si>
  <si>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</si>
  <si>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</si>
  <si>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</si>
  <si>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</si>
  <si>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</si>
  <si>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</si>
  <si>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</si>
  <si>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</si>
  <si>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</si>
  <si>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</si>
  <si>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</si>
  <si>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</si>
  <si>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</si>
  <si>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</si>
  <si>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</si>
  <si>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</si>
  <si>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</si>
  <si>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</si>
  <si>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</si>
  <si>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</si>
  <si>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</si>
  <si>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</si>
  <si>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</si>
  <si>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</si>
  <si>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</si>
  <si>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</si>
  <si>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</si>
  <si>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</si>
  <si>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</si>
  <si>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</si>
  <si>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</si>
  <si>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</si>
  <si>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</si>
  <si>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</si>
  <si>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</si>
  <si>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</si>
  <si>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</si>
  <si>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</si>
  <si>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</si>
  <si>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</si>
  <si>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</si>
  <si>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</si>
  <si>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</si>
  <si>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</si>
  <si>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</si>
  <si>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</si>
  <si>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</si>
  <si>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</si>
  <si>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</si>
  <si>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</si>
  <si>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</si>
  <si>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</si>
  <si>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</si>
  <si>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</si>
  <si>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</si>
  <si>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</si>
  <si>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</si>
  <si>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</si>
  <si>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</si>
  <si>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</si>
  <si>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</si>
  <si>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</si>
  <si>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</si>
  <si>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</si>
  <si>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</si>
  <si>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</si>
  <si>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</si>
  <si>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</si>
  <si>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</si>
  <si>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</si>
  <si>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</si>
  <si>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</si>
  <si>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</si>
  <si>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</si>
  <si>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</si>
  <si>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</si>
  <si>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</si>
  <si>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</si>
  <si>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</si>
  <si>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</si>
  <si>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</si>
  <si>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</si>
  <si>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</si>
  <si>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</si>
  <si>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</si>
  <si>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</si>
  <si>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</si>
  <si>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</si>
  <si>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</si>
  <si>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</si>
  <si>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</si>
  <si>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</si>
  <si>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</si>
  <si>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</si>
  <si>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</si>
  <si>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</si>
  <si>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</si>
  <si>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</si>
  <si>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</si>
  <si>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</si>
  <si>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</si>
  <si>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</si>
  <si>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</si>
  <si>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</si>
  <si>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</si>
  <si>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</si>
  <si>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</si>
  <si>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</si>
  <si>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</si>
  <si>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</si>
  <si>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</si>
  <si>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</si>
  <si>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</si>
  <si>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</si>
  <si>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</si>
  <si>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</si>
  <si>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</si>
  <si>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</si>
  <si>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</si>
  <si>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</si>
  <si>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</si>
  <si>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</si>
  <si>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</si>
  <si>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</si>
  <si>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</si>
  <si>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</si>
  <si>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</si>
  <si>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</si>
  <si>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</si>
  <si>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</si>
  <si>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</si>
  <si>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</si>
  <si>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</si>
  <si>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</si>
  <si>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</si>
  <si>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</si>
  <si>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</si>
  <si>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</si>
  <si>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</si>
  <si>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</si>
  <si>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</si>
  <si>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</si>
  <si>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</si>
  <si>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</si>
  <si>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</si>
  <si>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</si>
  <si>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</si>
  <si>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</si>
  <si>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</si>
  <si>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</si>
  <si>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</si>
  <si>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</si>
  <si>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</si>
  <si>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</si>
  <si>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</si>
  <si>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</si>
  <si>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</si>
  <si>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</si>
  <si>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</si>
  <si>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</si>
  <si>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</si>
  <si>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</si>
  <si>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</si>
  <si>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</si>
  <si>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</si>
  <si>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</si>
  <si>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</si>
  <si>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</si>
  <si>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</si>
  <si>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</si>
  <si>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</si>
  <si>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</si>
  <si>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</si>
  <si>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</si>
  <si>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</si>
  <si>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</si>
  <si>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</si>
  <si>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</si>
  <si>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</si>
  <si>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</si>
  <si>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</si>
  <si>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</si>
  <si>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</si>
  <si>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</si>
  <si>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</si>
  <si>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</si>
  <si>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</si>
  <si>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</si>
  <si>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</si>
  <si>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</si>
  <si>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</si>
  <si>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</si>
  <si>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</si>
  <si>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</si>
  <si>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</si>
  <si>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</si>
  <si>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</si>
  <si>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</si>
  <si>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</si>
  <si>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</si>
  <si>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</si>
  <si>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</si>
  <si>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</si>
  <si>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</si>
  <si>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</si>
  <si>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</si>
  <si>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</si>
  <si>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</si>
  <si>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</si>
  <si>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</si>
  <si>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</si>
  <si>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</si>
  <si>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</si>
  <si>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</si>
  <si>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</si>
  <si>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</si>
  <si>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</si>
  <si>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</si>
  <si>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</si>
  <si>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</si>
  <si>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</si>
  <si>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</si>
  <si>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</si>
  <si>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</si>
  <si>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</si>
  <si>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</si>
  <si>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</si>
  <si>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</si>
  <si>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</si>
  <si>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</si>
  <si>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</si>
  <si>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</si>
  <si>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</si>
  <si>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</si>
  <si>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</si>
  <si>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</si>
  <si>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</si>
  <si>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</si>
  <si>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</si>
  <si>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</si>
  <si>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</si>
  <si>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</si>
  <si>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</si>
  <si>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</si>
  <si>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</si>
  <si>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</si>
  <si>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</si>
  <si>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</si>
  <si>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</si>
  <si>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</si>
  <si>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</si>
  <si>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</si>
  <si>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</si>
  <si>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</si>
  <si>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</si>
  <si>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</si>
  <si>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</si>
  <si>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</si>
  <si>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</si>
  <si>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</si>
  <si>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</si>
  <si>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</si>
  <si>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</si>
  <si>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</si>
  <si>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</si>
  <si>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</si>
  <si>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</si>
  <si>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</si>
  <si>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</si>
  <si>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</si>
  <si>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</si>
  <si>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</si>
  <si>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</si>
  <si>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</si>
  <si>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</si>
  <si>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</si>
  <si>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</si>
  <si>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</si>
  <si>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</si>
  <si>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</si>
  <si>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</si>
  <si>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</si>
  <si>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</si>
  <si>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</si>
  <si>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</si>
  <si>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</si>
  <si>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</si>
  <si>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</si>
  <si>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</si>
  <si>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</si>
  <si>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</si>
  <si>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</si>
  <si>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</si>
  <si>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</si>
  <si>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</si>
  <si>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</si>
  <si>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</si>
  <si>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</si>
  <si>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</si>
  <si>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</si>
  <si>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</si>
  <si>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</si>
  <si>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</si>
  <si>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</si>
  <si>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</si>
  <si>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</si>
  <si>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</si>
  <si>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</si>
  <si>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</si>
  <si>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</si>
  <si>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</si>
  <si>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</si>
  <si>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</si>
  <si>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</si>
  <si>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</si>
  <si>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</si>
  <si>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</si>
  <si>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</si>
  <si>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</si>
  <si>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</si>
  <si>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</si>
  <si>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</si>
  <si>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</si>
  <si>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</si>
  <si>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</si>
  <si>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</si>
  <si>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</si>
  <si>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</si>
  <si>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</si>
  <si>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</si>
  <si>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</si>
  <si>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</si>
  <si>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</si>
  <si>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</si>
  <si>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</si>
  <si>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</si>
  <si>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</si>
  <si>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</si>
  <si>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</si>
  <si>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</si>
  <si>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</si>
  <si>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</si>
  <si>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</si>
  <si>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</si>
  <si>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</si>
  <si>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</si>
  <si>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</si>
  <si>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</si>
  <si>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</si>
  <si>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</si>
  <si>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</si>
  <si>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</si>
  <si>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</si>
  <si>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</si>
  <si>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</si>
  <si>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</si>
  <si>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</si>
  <si>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</si>
  <si>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</si>
  <si>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</si>
  <si>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</si>
  <si>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</si>
  <si>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</si>
  <si>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</si>
  <si>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</si>
  <si>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</si>
  <si>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</si>
  <si>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</si>
  <si>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</si>
  <si>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</si>
  <si>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</si>
  <si>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</si>
  <si>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</si>
  <si>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</si>
  <si>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</si>
  <si>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</si>
  <si>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</si>
  <si>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</si>
  <si>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</si>
  <si>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</si>
  <si>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</si>
  <si>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</si>
  <si>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</si>
  <si>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</si>
  <si>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</si>
  <si>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</si>
  <si>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</si>
  <si>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</si>
  <si>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</si>
  <si>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</si>
  <si>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</si>
  <si>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</si>
  <si>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</si>
  <si>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</si>
  <si>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</si>
  <si>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</si>
  <si>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</si>
  <si>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</si>
  <si>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</si>
  <si>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</si>
  <si>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</si>
  <si>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</si>
  <si>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</si>
  <si>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</si>
  <si>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</si>
  <si>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</si>
  <si>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</si>
  <si>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</si>
  <si>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</si>
  <si>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</si>
  <si>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</si>
  <si>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</si>
  <si>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</si>
  <si>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</si>
  <si>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</si>
  <si>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</si>
  <si>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</si>
  <si>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</si>
  <si>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</si>
  <si>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</si>
  <si>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</si>
  <si>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</si>
  <si>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</si>
  <si>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</si>
  <si>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</si>
  <si>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</si>
  <si>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</si>
  <si>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</si>
  <si>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</si>
  <si>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</si>
  <si>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</si>
  <si>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</si>
  <si>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</si>
  <si>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</si>
  <si>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</si>
  <si>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</si>
  <si>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</si>
  <si>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</si>
  <si>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</si>
  <si>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</si>
  <si>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</si>
  <si>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</si>
  <si>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</si>
  <si>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</si>
  <si>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</si>
  <si>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</si>
  <si>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</si>
  <si>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</si>
  <si>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</si>
  <si>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</si>
  <si>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</si>
  <si>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</si>
  <si>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</si>
  <si>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</si>
  <si>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</si>
  <si>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</si>
  <si>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</si>
  <si>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</si>
  <si>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</si>
  <si>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</si>
  <si>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</si>
  <si>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</si>
  <si>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</si>
  <si>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</si>
  <si>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</si>
  <si>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</si>
  <si>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</si>
  <si>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</si>
  <si>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</si>
  <si>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</si>
  <si>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</si>
  <si>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</si>
  <si>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</si>
  <si>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</si>
  <si>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</si>
  <si>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</si>
  <si>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</si>
  <si>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</si>
  <si>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</si>
  <si>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</si>
  <si>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</si>
  <si>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</si>
  <si>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</si>
  <si>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</si>
  <si>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</si>
  <si>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</si>
  <si>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</si>
  <si>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</si>
  <si>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</si>
  <si>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</si>
  <si>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</si>
  <si>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</si>
  <si>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</si>
  <si>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</si>
  <si>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</si>
  <si>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</si>
  <si>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</si>
  <si>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</si>
  <si>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</si>
  <si>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</si>
  <si>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</si>
  <si>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</si>
  <si>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</si>
  <si>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</si>
  <si>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</si>
  <si>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</si>
  <si>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</si>
  <si>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</si>
  <si>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</si>
  <si>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</si>
  <si>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</si>
  <si>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</si>
  <si>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</si>
  <si>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</si>
  <si>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</si>
  <si>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</si>
  <si>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</si>
  <si>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</si>
  <si>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</si>
  <si>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</si>
  <si>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</si>
  <si>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</si>
  <si>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</si>
  <si>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</si>
  <si>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</si>
  <si>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</si>
  <si>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</si>
  <si>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</si>
  <si>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</si>
  <si>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</si>
  <si>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</si>
  <si>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</si>
  <si>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</si>
  <si>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</si>
  <si>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</si>
  <si>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</si>
  <si>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</si>
  <si>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</si>
  <si>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</si>
  <si>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</si>
  <si>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</si>
  <si>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</si>
  <si>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</si>
  <si>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</si>
  <si>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</si>
  <si>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</si>
  <si>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</si>
  <si>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</si>
  <si>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</si>
  <si>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</si>
  <si>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</si>
  <si>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</si>
  <si>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</si>
  <si>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</si>
  <si>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</si>
  <si>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</si>
  <si>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</si>
  <si>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</si>
  <si>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</si>
  <si>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</si>
  <si>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</si>
  <si>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</si>
  <si>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</si>
  <si>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</si>
  <si>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</si>
  <si>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</si>
  <si>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</si>
  <si>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</si>
  <si>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</si>
  <si>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</si>
  <si>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</si>
  <si>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</si>
  <si>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</si>
  <si>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</si>
  <si>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</si>
  <si>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</si>
  <si>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</si>
  <si>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</si>
  <si>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</si>
  <si>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</si>
  <si>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</si>
  <si>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</si>
  <si>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</si>
  <si>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</si>
  <si>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</si>
  <si>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</si>
  <si>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</si>
  <si>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</si>
  <si>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</si>
  <si>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</si>
  <si>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</si>
  <si>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</si>
  <si>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</si>
  <si>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</si>
  <si>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</si>
  <si>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</si>
  <si>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</si>
  <si>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</si>
  <si>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</si>
  <si>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</si>
  <si>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</si>
  <si>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</si>
  <si>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</si>
  <si>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</si>
  <si>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</si>
  <si>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</si>
  <si>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</si>
  <si>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</si>
  <si>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</si>
  <si>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</si>
  <si>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rPr>
        <b/>
        <sz val="13"/>
        <rFont val="Arial"/>
        <family val="2"/>
      </rPr>
      <t>CONDICIONES ESPECÍFICAS:</t>
    </r>
    <r>
      <rPr>
        <sz val="13"/>
        <rFont val="Arial"/>
        <family val="2"/>
      </rPr>
      <t xml:space="preserve">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</si>
</sst>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5" xfId="0" applyFill="1" applyBorder="1" applyAlignment="1">
      <alignment horizontal="left"/>
    </xf>
    <xf numFmtId="0" fontId="0" fillId="2" borderId="10" xfId="0" applyFill="1" applyBorder="1" applyAlignment="1">
      <alignment horizontal="left" vertical="center"/>
    </xf>
    <xf numFmtId="0" fontId="0" fillId="2" borderId="6" xfId="0" applyFill="1" applyBorder="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10"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0" xfId="0" applyFill="1" applyAlignment="1">
      <alignment horizontal="center"/>
    </xf>
    <xf numFmtId="0" fontId="0" fillId="2" borderId="1"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0" fontId="77" fillId="2" borderId="0" xfId="0" applyFont="1" applyFill="1" applyAlignment="1">
      <alignment horizontal="left" vertical="center" wrapText="1"/>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applyFont="1" applyFill="1" applyAlignment="1">
      <alignment horizontal="left" vertical="center" wrapText="1"/>
    </xf>
    <xf numFmtId="0" fontId="79" fillId="2" borderId="0" xfId="0" quotePrefix="1"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84" fillId="2" borderId="2" xfId="0" applyFont="1" applyFill="1" applyBorder="1" applyAlignment="1">
      <alignment horizontal="center" vertical="center" wrapText="1"/>
    </xf>
    <xf numFmtId="0" fontId="84" fillId="2" borderId="4" xfId="0" applyFont="1" applyFill="1" applyBorder="1" applyAlignment="1">
      <alignment horizontal="center" vertical="center" wrapText="1"/>
    </xf>
    <xf numFmtId="0" fontId="77" fillId="2" borderId="0" xfId="0" applyFont="1" applyFill="1" applyAlignment="1">
      <alignment horizontal="left" vertical="center"/>
    </xf>
    <xf numFmtId="173" fontId="86" fillId="2" borderId="0" xfId="0" applyNumberFormat="1" applyFont="1" applyFill="1" applyAlignment="1">
      <alignment horizontal="center" vertical="center" wrapText="1"/>
    </xf>
    <xf numFmtId="0" fontId="84" fillId="2" borderId="3"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0" fontId="91" fillId="8" borderId="1" xfId="0" applyFont="1" applyFill="1" applyBorder="1" applyAlignment="1">
      <alignment horizontal="center"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1"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33" fillId="2" borderId="1" xfId="0" applyFont="1" applyFill="1" applyBorder="1" applyAlignment="1">
      <alignment horizontal="center" vertical="center"/>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0" fontId="88" fillId="2" borderId="0" xfId="0" applyFont="1" applyFill="1" applyAlignment="1">
      <alignment horizontal="left" vertical="center" wrapText="1"/>
    </xf>
    <xf numFmtId="177" fontId="86" fillId="2" borderId="0" xfId="0" applyNumberFormat="1" applyFont="1" applyFill="1" applyAlignment="1">
      <alignment horizontal="left" vertical="center"/>
    </xf>
    <xf numFmtId="0" fontId="74" fillId="2" borderId="1" xfId="0" applyFont="1" applyFill="1" applyBorder="1" applyAlignment="1">
      <alignment horizontal="left" vertical="center" wrapText="1" inden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123" fillId="2" borderId="1" xfId="0" applyFont="1" applyFill="1" applyBorder="1" applyAlignment="1">
      <alignment horizontal="center" vertical="center" wrapTex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44" fillId="0" borderId="1" xfId="0" applyFont="1" applyBorder="1" applyAlignment="1">
      <alignment horizontal="left" vertical="center" wrapText="1" indent="1"/>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0" borderId="1" xfId="0" applyFont="1" applyBorder="1" applyAlignment="1">
      <alignment horizontal="center" vertical="center" wrapText="1"/>
    </xf>
    <xf numFmtId="0" fontId="54" fillId="2" borderId="0" xfId="0" applyFont="1" applyFill="1" applyAlignment="1">
      <alignment horizontal="left" vertical="center" wrapText="1"/>
    </xf>
    <xf numFmtId="0" fontId="132" fillId="2" borderId="0" xfId="0" applyFont="1" applyFill="1" applyAlignment="1">
      <alignment horizontal="right" vertical="center"/>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1" applyFont="1" applyFill="1" applyAlignment="1">
      <alignment horizontal="left"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5" fillId="2" borderId="0" xfId="0" applyFont="1" applyFill="1" applyAlignment="1">
      <alignment horizontal="left" wrapText="1"/>
    </xf>
    <xf numFmtId="0" fontId="72" fillId="2" borderId="0" xfId="0" applyFont="1" applyFill="1" applyAlignment="1">
      <alignment horizontal="right"/>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xf>
    <xf numFmtId="0" fontId="47" fillId="0" borderId="0" xfId="0" applyFont="1" applyAlignment="1">
      <alignment horizontal="left" vertical="center"/>
    </xf>
    <xf numFmtId="0" fontId="47" fillId="0" borderId="0" xfId="0" applyFont="1" applyAlignment="1">
      <alignment horizontal="left" vertical="center" wrapText="1"/>
    </xf>
    <xf numFmtId="0" fontId="8" fillId="0" borderId="0" xfId="0" applyFont="1" applyAlignment="1">
      <alignment horizontal="left" vertical="center" wrapText="1"/>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7" fillId="0" borderId="1" xfId="0" applyFont="1" applyBorder="1" applyAlignment="1">
      <alignment horizontal="left" vertical="center" wrapText="1" indent="1"/>
    </xf>
    <xf numFmtId="0" fontId="42" fillId="0" borderId="0" xfId="0" applyFont="1" applyAlignment="1">
      <alignment horizontal="left" vertical="center" wrapText="1"/>
    </xf>
    <xf numFmtId="16" fontId="41" fillId="2" borderId="0" xfId="0" applyNumberFormat="1" applyFont="1" applyFill="1" applyAlignment="1">
      <alignment horizontal="left" vertical="center" wrapText="1"/>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0" xfId="0" applyFont="1" applyAlignment="1">
      <alignment horizontal="left"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12" fillId="0" borderId="1" xfId="0" applyFont="1" applyBorder="1" applyAlignment="1">
      <alignment horizontal="center"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60" fillId="2" borderId="0" xfId="0" applyFont="1" applyFill="1" applyAlignment="1">
      <alignment horizontal="left" wrapText="1"/>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0" fillId="2" borderId="26" xfId="0" applyFont="1" applyFill="1" applyBorder="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170" fontId="61" fillId="0" borderId="0" xfId="0" applyNumberFormat="1" applyFont="1" applyAlignment="1">
      <alignment horizontal="center" vertical="center"/>
    </xf>
    <xf numFmtId="0" fontId="8" fillId="2" borderId="0" xfId="0" applyFont="1" applyFill="1" applyAlignment="1">
      <alignment horizontal="left" vertical="top" wrapText="1"/>
    </xf>
    <xf numFmtId="0" fontId="56" fillId="2" borderId="0" xfId="0" applyFont="1" applyFill="1" applyAlignment="1">
      <alignment horizontal="left" vertical="center" wrapText="1"/>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4" t="s">
        <v>1</v>
      </c>
      <c r="C3" s="545"/>
      <c r="D3" s="545"/>
      <c r="E3" s="546"/>
      <c r="F3" s="5" t="s">
        <v>2</v>
      </c>
      <c r="G3" s="4" t="s">
        <v>3</v>
      </c>
    </row>
    <row r="4" spans="1:7" x14ac:dyDescent="0.3">
      <c r="A4" s="16"/>
      <c r="B4" s="16" t="s">
        <v>4</v>
      </c>
      <c r="C4" s="17"/>
      <c r="D4" s="17"/>
      <c r="E4" s="17"/>
      <c r="F4" s="17"/>
      <c r="G4" s="18"/>
    </row>
    <row r="5" spans="1:7" x14ac:dyDescent="0.3">
      <c r="A5" s="12">
        <v>1</v>
      </c>
      <c r="B5" s="540" t="s">
        <v>5</v>
      </c>
      <c r="C5" s="540"/>
      <c r="D5" s="540"/>
      <c r="E5" s="540"/>
      <c r="F5" s="6" t="s">
        <v>6</v>
      </c>
      <c r="G5" s="7">
        <v>60</v>
      </c>
    </row>
    <row r="6" spans="1:7" x14ac:dyDescent="0.3">
      <c r="A6" s="13">
        <v>2</v>
      </c>
      <c r="B6" s="539" t="s">
        <v>7</v>
      </c>
      <c r="C6" s="539"/>
      <c r="D6" s="539"/>
      <c r="E6" s="539"/>
      <c r="F6" s="8" t="s">
        <v>8</v>
      </c>
      <c r="G6" s="9">
        <v>115</v>
      </c>
    </row>
    <row r="7" spans="1:7" x14ac:dyDescent="0.3">
      <c r="A7" s="13">
        <v>3</v>
      </c>
      <c r="B7" s="539" t="s">
        <v>11</v>
      </c>
      <c r="C7" s="539"/>
      <c r="D7" s="539"/>
      <c r="E7" s="539"/>
      <c r="F7" s="8" t="s">
        <v>12</v>
      </c>
      <c r="G7" s="9">
        <v>48</v>
      </c>
    </row>
    <row r="8" spans="1:7" x14ac:dyDescent="0.3">
      <c r="A8" s="13">
        <v>4</v>
      </c>
      <c r="B8" s="539" t="s">
        <v>15</v>
      </c>
      <c r="C8" s="539"/>
      <c r="D8" s="539"/>
      <c r="E8" s="539"/>
      <c r="F8" s="8" t="s">
        <v>12</v>
      </c>
      <c r="G8" s="9">
        <v>48</v>
      </c>
    </row>
    <row r="9" spans="1:7" x14ac:dyDescent="0.3">
      <c r="A9" s="13">
        <v>5</v>
      </c>
      <c r="B9" s="539" t="s">
        <v>16</v>
      </c>
      <c r="C9" s="539"/>
      <c r="D9" s="539"/>
      <c r="E9" s="539"/>
      <c r="F9" s="8" t="s">
        <v>17</v>
      </c>
      <c r="G9" s="9">
        <v>48</v>
      </c>
    </row>
    <row r="10" spans="1:7" x14ac:dyDescent="0.3">
      <c r="A10" s="13">
        <v>6</v>
      </c>
      <c r="B10" s="539" t="s">
        <v>18</v>
      </c>
      <c r="C10" s="539"/>
      <c r="D10" s="539"/>
      <c r="E10" s="539"/>
      <c r="F10" s="8" t="s">
        <v>19</v>
      </c>
      <c r="G10" s="9">
        <v>245</v>
      </c>
    </row>
    <row r="11" spans="1:7" x14ac:dyDescent="0.3">
      <c r="A11" s="13">
        <v>7</v>
      </c>
      <c r="B11" s="539" t="s">
        <v>20</v>
      </c>
      <c r="C11" s="539"/>
      <c r="D11" s="539"/>
      <c r="E11" s="539"/>
      <c r="F11" s="8" t="s">
        <v>21</v>
      </c>
      <c r="G11" s="9">
        <v>30</v>
      </c>
    </row>
    <row r="12" spans="1:7" x14ac:dyDescent="0.3">
      <c r="A12" s="13">
        <v>8</v>
      </c>
      <c r="B12" s="539" t="s">
        <v>22</v>
      </c>
      <c r="C12" s="539"/>
      <c r="D12" s="539"/>
      <c r="E12" s="539"/>
      <c r="F12" s="8" t="s">
        <v>21</v>
      </c>
      <c r="G12" s="9">
        <v>53</v>
      </c>
    </row>
    <row r="13" spans="1:7" x14ac:dyDescent="0.3">
      <c r="A13" s="13">
        <v>9</v>
      </c>
      <c r="B13" s="539" t="s">
        <v>9</v>
      </c>
      <c r="C13" s="539"/>
      <c r="D13" s="539"/>
      <c r="E13" s="539"/>
      <c r="F13" s="8" t="s">
        <v>10</v>
      </c>
      <c r="G13" s="9">
        <v>60</v>
      </c>
    </row>
    <row r="14" spans="1:7" x14ac:dyDescent="0.3">
      <c r="A14" s="13">
        <v>10</v>
      </c>
      <c r="B14" s="539" t="s">
        <v>23</v>
      </c>
      <c r="C14" s="539"/>
      <c r="D14" s="539"/>
      <c r="E14" s="539"/>
      <c r="F14" s="8" t="s">
        <v>24</v>
      </c>
      <c r="G14" s="9">
        <v>60</v>
      </c>
    </row>
    <row r="15" spans="1:7" x14ac:dyDescent="0.3">
      <c r="A15" s="13">
        <v>11</v>
      </c>
      <c r="B15" s="539" t="s">
        <v>25</v>
      </c>
      <c r="C15" s="539"/>
      <c r="D15" s="539"/>
      <c r="E15" s="539"/>
      <c r="F15" s="8" t="s">
        <v>21</v>
      </c>
      <c r="G15" s="9">
        <v>30</v>
      </c>
    </row>
    <row r="16" spans="1:7" x14ac:dyDescent="0.3">
      <c r="A16" s="13">
        <v>12</v>
      </c>
      <c r="B16" s="539" t="s">
        <v>13</v>
      </c>
      <c r="C16" s="539"/>
      <c r="D16" s="539"/>
      <c r="E16" s="539"/>
      <c r="F16" s="8" t="s">
        <v>14</v>
      </c>
      <c r="G16" s="9">
        <v>245</v>
      </c>
    </row>
    <row r="17" spans="1:7" x14ac:dyDescent="0.3">
      <c r="A17" s="13">
        <v>13</v>
      </c>
      <c r="B17" s="539" t="s">
        <v>27</v>
      </c>
      <c r="C17" s="539"/>
      <c r="D17" s="539"/>
      <c r="E17" s="539"/>
      <c r="F17" s="8" t="s">
        <v>28</v>
      </c>
      <c r="G17" s="9">
        <v>78</v>
      </c>
    </row>
    <row r="18" spans="1:7" x14ac:dyDescent="0.3">
      <c r="A18" s="13">
        <v>14</v>
      </c>
      <c r="B18" s="539" t="s">
        <v>29</v>
      </c>
      <c r="C18" s="539"/>
      <c r="D18" s="539"/>
      <c r="E18" s="539"/>
      <c r="F18" s="8"/>
      <c r="G18" s="9">
        <v>35</v>
      </c>
    </row>
    <row r="19" spans="1:7" x14ac:dyDescent="0.3">
      <c r="A19" s="13">
        <v>15</v>
      </c>
      <c r="B19" s="539" t="s">
        <v>30</v>
      </c>
      <c r="C19" s="539"/>
      <c r="D19" s="539"/>
      <c r="E19" s="539"/>
      <c r="F19" s="8"/>
      <c r="G19" s="9">
        <v>115</v>
      </c>
    </row>
    <row r="20" spans="1:7" x14ac:dyDescent="0.3">
      <c r="A20" s="13">
        <v>16</v>
      </c>
      <c r="B20" s="541" t="s">
        <v>31</v>
      </c>
      <c r="C20" s="541"/>
      <c r="D20" s="541"/>
      <c r="E20" s="541"/>
      <c r="F20" s="8" t="s">
        <v>32</v>
      </c>
      <c r="G20" s="9">
        <v>140</v>
      </c>
    </row>
    <row r="21" spans="1:7" x14ac:dyDescent="0.3">
      <c r="A21" s="14">
        <v>17</v>
      </c>
      <c r="B21" s="547" t="s">
        <v>33</v>
      </c>
      <c r="C21" s="547"/>
      <c r="D21" s="547"/>
      <c r="E21" s="547"/>
      <c r="F21" s="10"/>
      <c r="G21" s="11">
        <v>1500</v>
      </c>
    </row>
    <row r="22" spans="1:7" x14ac:dyDescent="0.3">
      <c r="A22" s="16"/>
      <c r="B22" s="16" t="s">
        <v>34</v>
      </c>
      <c r="C22" s="17"/>
      <c r="D22" s="17"/>
      <c r="E22" s="17"/>
      <c r="F22" s="17"/>
      <c r="G22" s="18"/>
    </row>
    <row r="23" spans="1:7" x14ac:dyDescent="0.3">
      <c r="A23" s="6">
        <v>18</v>
      </c>
      <c r="B23" s="540" t="s">
        <v>35</v>
      </c>
      <c r="C23" s="540"/>
      <c r="D23" s="540"/>
      <c r="E23" s="540"/>
      <c r="F23" s="6" t="s">
        <v>36</v>
      </c>
      <c r="G23" s="7">
        <v>60</v>
      </c>
    </row>
    <row r="24" spans="1:7" x14ac:dyDescent="0.3">
      <c r="A24" s="8">
        <v>19</v>
      </c>
      <c r="B24" s="539" t="s">
        <v>37</v>
      </c>
      <c r="C24" s="539"/>
      <c r="D24" s="539"/>
      <c r="E24" s="539"/>
      <c r="F24" s="8" t="s">
        <v>38</v>
      </c>
      <c r="G24" s="9">
        <v>75</v>
      </c>
    </row>
    <row r="25" spans="1:7" x14ac:dyDescent="0.3">
      <c r="A25" s="8">
        <v>20</v>
      </c>
      <c r="B25" s="539" t="s">
        <v>39</v>
      </c>
      <c r="C25" s="539"/>
      <c r="D25" s="539"/>
      <c r="E25" s="539"/>
      <c r="F25" s="8" t="s">
        <v>40</v>
      </c>
      <c r="G25" s="9">
        <v>70</v>
      </c>
    </row>
    <row r="26" spans="1:7" x14ac:dyDescent="0.3">
      <c r="A26" s="8">
        <v>21</v>
      </c>
      <c r="B26" s="539" t="s">
        <v>41</v>
      </c>
      <c r="C26" s="539"/>
      <c r="D26" s="539"/>
      <c r="E26" s="539"/>
      <c r="F26" s="8" t="s">
        <v>36</v>
      </c>
      <c r="G26" s="9">
        <v>35</v>
      </c>
    </row>
    <row r="27" spans="1:7" x14ac:dyDescent="0.3">
      <c r="A27" s="10">
        <v>22</v>
      </c>
      <c r="B27" s="542" t="s">
        <v>42</v>
      </c>
      <c r="C27" s="542"/>
      <c r="D27" s="542"/>
      <c r="E27" s="542"/>
      <c r="F27" s="10" t="s">
        <v>43</v>
      </c>
      <c r="G27" s="11">
        <v>45</v>
      </c>
    </row>
    <row r="28" spans="1:7" x14ac:dyDescent="0.3">
      <c r="A28" s="19"/>
      <c r="B28" s="19" t="s">
        <v>44</v>
      </c>
      <c r="C28" s="20"/>
      <c r="D28" s="20"/>
      <c r="E28" s="20"/>
      <c r="F28" s="20"/>
      <c r="G28" s="21"/>
    </row>
    <row r="29" spans="1:7" x14ac:dyDescent="0.3">
      <c r="A29" s="6">
        <v>23</v>
      </c>
      <c r="B29" s="543" t="s">
        <v>45</v>
      </c>
      <c r="C29" s="543"/>
      <c r="D29" s="543"/>
      <c r="E29" s="543"/>
      <c r="F29" s="6" t="s">
        <v>46</v>
      </c>
      <c r="G29" s="7">
        <v>120</v>
      </c>
    </row>
    <row r="30" spans="1:7" x14ac:dyDescent="0.3">
      <c r="A30" s="8">
        <v>24</v>
      </c>
      <c r="B30" s="541" t="s">
        <v>47</v>
      </c>
      <c r="C30" s="541"/>
      <c r="D30" s="541"/>
      <c r="E30" s="541"/>
      <c r="F30" s="8" t="s">
        <v>48</v>
      </c>
      <c r="G30" s="9">
        <v>75</v>
      </c>
    </row>
    <row r="31" spans="1:7" x14ac:dyDescent="0.3">
      <c r="A31" s="8">
        <v>25</v>
      </c>
      <c r="B31" s="541" t="s">
        <v>49</v>
      </c>
      <c r="C31" s="541"/>
      <c r="D31" s="541"/>
      <c r="E31" s="541"/>
      <c r="F31" s="8" t="s">
        <v>50</v>
      </c>
      <c r="G31" s="9">
        <v>65</v>
      </c>
    </row>
    <row r="32" spans="1:7" x14ac:dyDescent="0.3">
      <c r="A32" s="8">
        <v>26</v>
      </c>
      <c r="B32" s="541" t="s">
        <v>51</v>
      </c>
      <c r="C32" s="541"/>
      <c r="D32" s="541"/>
      <c r="E32" s="541"/>
      <c r="F32" s="8" t="s">
        <v>52</v>
      </c>
      <c r="G32" s="9">
        <v>85</v>
      </c>
    </row>
    <row r="33" spans="1:7" x14ac:dyDescent="0.3">
      <c r="A33" s="8">
        <v>27</v>
      </c>
      <c r="B33" s="541" t="s">
        <v>53</v>
      </c>
      <c r="C33" s="541"/>
      <c r="D33" s="541"/>
      <c r="E33" s="541"/>
      <c r="F33" s="8" t="s">
        <v>54</v>
      </c>
      <c r="G33" s="9">
        <v>85</v>
      </c>
    </row>
    <row r="34" spans="1:7" x14ac:dyDescent="0.3">
      <c r="A34" s="8">
        <v>28</v>
      </c>
      <c r="B34" s="541" t="s">
        <v>55</v>
      </c>
      <c r="C34" s="541"/>
      <c r="D34" s="541"/>
      <c r="E34" s="541"/>
      <c r="F34" s="8" t="s">
        <v>56</v>
      </c>
      <c r="G34" s="9">
        <v>100</v>
      </c>
    </row>
    <row r="35" spans="1:7" x14ac:dyDescent="0.3">
      <c r="A35" s="8">
        <v>29</v>
      </c>
      <c r="B35" s="541" t="s">
        <v>57</v>
      </c>
      <c r="C35" s="541"/>
      <c r="D35" s="541"/>
      <c r="E35" s="541"/>
      <c r="F35" s="8" t="s">
        <v>50</v>
      </c>
      <c r="G35" s="9">
        <v>40</v>
      </c>
    </row>
    <row r="36" spans="1:7" x14ac:dyDescent="0.3">
      <c r="A36" s="8">
        <v>30</v>
      </c>
      <c r="B36" s="541" t="s">
        <v>58</v>
      </c>
      <c r="C36" s="541"/>
      <c r="D36" s="541"/>
      <c r="E36" s="541"/>
      <c r="F36" s="8" t="s">
        <v>50</v>
      </c>
      <c r="G36" s="9">
        <v>20</v>
      </c>
    </row>
    <row r="37" spans="1:7" x14ac:dyDescent="0.3">
      <c r="A37" s="8">
        <v>31</v>
      </c>
      <c r="B37" s="541" t="s">
        <v>59</v>
      </c>
      <c r="C37" s="541"/>
      <c r="D37" s="541"/>
      <c r="E37" s="541"/>
      <c r="F37" s="8" t="s">
        <v>60</v>
      </c>
      <c r="G37" s="9">
        <v>75</v>
      </c>
    </row>
    <row r="38" spans="1:7" x14ac:dyDescent="0.3">
      <c r="A38" s="8">
        <v>32</v>
      </c>
      <c r="B38" s="548" t="s">
        <v>61</v>
      </c>
      <c r="C38" s="549"/>
      <c r="D38" s="549"/>
      <c r="E38" s="550"/>
      <c r="F38" s="13" t="s">
        <v>62</v>
      </c>
      <c r="G38" s="15">
        <v>200</v>
      </c>
    </row>
    <row r="39" spans="1:7" x14ac:dyDescent="0.3">
      <c r="A39" s="10">
        <v>33</v>
      </c>
      <c r="B39" s="547" t="s">
        <v>63</v>
      </c>
      <c r="C39" s="547"/>
      <c r="D39" s="547"/>
      <c r="E39" s="547"/>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51"/>
      <c r="C43" s="551"/>
      <c r="D43" s="551"/>
      <c r="E43" s="551"/>
      <c r="F43" s="2"/>
      <c r="G43" s="1"/>
    </row>
    <row r="44" spans="1:7" x14ac:dyDescent="0.3">
      <c r="A44" s="552" t="s">
        <v>26</v>
      </c>
      <c r="B44" s="552"/>
      <c r="C44" s="552"/>
      <c r="D44" s="552"/>
      <c r="E44" s="552"/>
      <c r="F44" s="552"/>
      <c r="G44" s="3">
        <v>50</v>
      </c>
    </row>
  </sheetData>
  <mergeCells count="36">
    <mergeCell ref="B37:E37"/>
    <mergeCell ref="B38:E38"/>
    <mergeCell ref="B39:E39"/>
    <mergeCell ref="B43:E43"/>
    <mergeCell ref="A44:F44"/>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5:E35"/>
    <mergeCell ref="B36:E36"/>
    <mergeCell ref="B24:E24"/>
    <mergeCell ref="B25:E25"/>
    <mergeCell ref="B26:E26"/>
    <mergeCell ref="B27:E27"/>
    <mergeCell ref="B29:E29"/>
    <mergeCell ref="B30:E30"/>
    <mergeCell ref="B16:E16"/>
    <mergeCell ref="B5:E5"/>
    <mergeCell ref="B6:E6"/>
    <mergeCell ref="B7:E7"/>
    <mergeCell ref="B8:E8"/>
    <mergeCell ref="B9:E9"/>
    <mergeCell ref="B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03">
        <v>222</v>
      </c>
      <c r="H3" s="603"/>
      <c r="I3" s="603"/>
      <c r="J3" s="603"/>
      <c r="K3" s="603"/>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BATALLA DE JUNIN S.A.C</v>
      </c>
      <c r="E5" s="607"/>
      <c r="F5" s="607"/>
      <c r="G5" s="607"/>
      <c r="H5" s="607"/>
      <c r="I5" s="607"/>
      <c r="J5" s="344" t="s">
        <v>5893</v>
      </c>
      <c r="L5" s="588" t="str">
        <f>VLOOKUP($Q$3,BD_Clientes,9,FALSE)</f>
        <v>Bicentenario</v>
      </c>
      <c r="M5" s="588"/>
      <c r="N5" s="588"/>
      <c r="P5" s="595">
        <v>222</v>
      </c>
      <c r="Q5" s="595"/>
      <c r="R5" s="595"/>
      <c r="S5" s="595"/>
      <c r="T5" s="595"/>
    </row>
    <row r="6" spans="2:20" ht="28.2" customHeight="1" x14ac:dyDescent="0.3">
      <c r="B6" s="331" t="s">
        <v>5891</v>
      </c>
      <c r="C6" s="331"/>
      <c r="D6" s="607">
        <f>VLOOKUP($Q$3,BD_Clientes,3,FALSE)</f>
        <v>20603173156</v>
      </c>
      <c r="E6" s="607"/>
      <c r="F6" s="607"/>
      <c r="G6" s="607"/>
      <c r="H6" s="607"/>
      <c r="I6" s="607"/>
      <c r="J6" s="322"/>
      <c r="K6" s="343"/>
      <c r="L6" s="343"/>
      <c r="M6" s="343"/>
      <c r="N6" s="343"/>
      <c r="P6" s="596">
        <v>222</v>
      </c>
      <c r="Q6" s="596"/>
      <c r="R6" s="596"/>
      <c r="S6" s="596"/>
      <c r="T6" s="596"/>
    </row>
    <row r="7" spans="2:20" ht="28.2" customHeight="1" x14ac:dyDescent="0.3">
      <c r="B7" s="331" t="s">
        <v>2499</v>
      </c>
      <c r="C7" s="331"/>
      <c r="D7" s="607" t="str">
        <f>VLOOKUP($Q$3,BD_Clientes,5,FALSE)</f>
        <v>Alondra Neira Salas</v>
      </c>
      <c r="E7" s="607"/>
      <c r="F7" s="607"/>
      <c r="G7" s="607"/>
      <c r="H7" s="607"/>
      <c r="I7" s="607"/>
      <c r="J7" s="344" t="s">
        <v>5894</v>
      </c>
      <c r="L7" s="588" t="str">
        <f>VLOOKUP($Q$3,BD_Clientes,10,FALSE)</f>
        <v>Av. José Leguía y Meléndez 301, Pueblo Libr</v>
      </c>
      <c r="M7" s="588"/>
      <c r="N7" s="588"/>
      <c r="P7" s="597">
        <v>222</v>
      </c>
      <c r="Q7" s="597"/>
      <c r="R7" s="597"/>
      <c r="S7" s="597"/>
      <c r="T7" s="597"/>
    </row>
    <row r="8" spans="2:20" ht="28.2" customHeight="1" x14ac:dyDescent="0.3">
      <c r="B8" s="331" t="s">
        <v>5892</v>
      </c>
      <c r="C8" s="331"/>
      <c r="D8" s="331"/>
      <c r="E8" s="607">
        <f>VLOOKUP($Q$3,BD_Clientes,7,FALSE)</f>
        <v>977504836</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calidadbatalladejunin@gmail.com</v>
      </c>
      <c r="E9" s="607"/>
      <c r="F9" s="607"/>
      <c r="G9" s="607"/>
      <c r="H9" s="607"/>
      <c r="I9" s="607"/>
      <c r="J9" s="346" t="s">
        <v>5915</v>
      </c>
      <c r="K9" s="346"/>
      <c r="L9" s="428">
        <v>982429895</v>
      </c>
      <c r="M9" s="343"/>
      <c r="N9" s="343"/>
    </row>
    <row r="10" spans="2:20" ht="28.2" customHeight="1" x14ac:dyDescent="0.3">
      <c r="B10" s="346" t="s">
        <v>2504</v>
      </c>
      <c r="C10" s="346"/>
      <c r="D10" s="435"/>
      <c r="E10" s="605">
        <v>45970</v>
      </c>
      <c r="F10" s="605"/>
      <c r="G10" s="605"/>
      <c r="H10" s="605"/>
      <c r="I10" s="605"/>
      <c r="J10" s="346" t="s">
        <v>2507</v>
      </c>
      <c r="K10" s="346"/>
      <c r="L10" s="606">
        <v>45970</v>
      </c>
      <c r="M10" s="606"/>
      <c r="N10" s="606"/>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600" t="s">
        <v>5910</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t="s">
        <v>2011</v>
      </c>
      <c r="C17" s="592" t="str">
        <f>VLOOKUP(B17,ENS.!$B$5:$H$167,2,FALSE)</f>
        <v xml:space="preserve">Próctor modificado </v>
      </c>
      <c r="D17" s="592"/>
      <c r="E17" s="592"/>
      <c r="F17" s="592"/>
      <c r="G17" s="592"/>
      <c r="H17" s="592"/>
      <c r="I17" s="592"/>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2" t="str">
        <f>VLOOKUP(B18,ENS.!$B$5:$H$167,2,FALSE)</f>
        <v>Contenido de humedad en suelos</v>
      </c>
      <c r="D18" s="592"/>
      <c r="E18" s="592"/>
      <c r="F18" s="592"/>
      <c r="G18" s="592"/>
      <c r="H18" s="592"/>
      <c r="I18" s="592"/>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2" t="str">
        <f>VLOOKUP(B19,ENS.!$B$5:$H$167,2,FALSE)</f>
        <v>Contenido de humedad en Roca.</v>
      </c>
      <c r="D19" s="592"/>
      <c r="E19" s="592"/>
      <c r="F19" s="592"/>
      <c r="G19" s="592"/>
      <c r="H19" s="592"/>
      <c r="I19" s="592"/>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2" t="str">
        <f>VLOOKUP(B20,ENS.!$B$5:$H$167,2,FALSE)</f>
        <v>Equivalente de arena</v>
      </c>
      <c r="D20" s="592"/>
      <c r="E20" s="592"/>
      <c r="F20" s="592"/>
      <c r="G20" s="592"/>
      <c r="H20" s="592"/>
      <c r="I20" s="592"/>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2" t="str">
        <f>VLOOKUP(B21,ENS.!$B$5:$H$167,2,FALSE)</f>
        <v xml:space="preserve">Próctor modificado </v>
      </c>
      <c r="D21" s="592"/>
      <c r="E21" s="592"/>
      <c r="F21" s="592"/>
      <c r="G21" s="592"/>
      <c r="H21" s="592"/>
      <c r="I21" s="592"/>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2" t="str">
        <f>VLOOKUP(B22,ENS.!$B$5:$H$167,2,FALSE)</f>
        <v>Contenido de humedad en suelos</v>
      </c>
      <c r="D22" s="592"/>
      <c r="E22" s="592"/>
      <c r="F22" s="592"/>
      <c r="G22" s="592"/>
      <c r="H22" s="592"/>
      <c r="I22" s="592"/>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2" t="str">
        <f>VLOOKUP(B23,ENS.!$B$5:$H$167,2,FALSE)</f>
        <v>Contenido de humedad en Roca.</v>
      </c>
      <c r="D23" s="592"/>
      <c r="E23" s="592"/>
      <c r="F23" s="592"/>
      <c r="G23" s="592"/>
      <c r="H23" s="592"/>
      <c r="I23" s="592"/>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2" t="str">
        <f>VLOOKUP(B24,ENS.!$B$5:$H$167,2,FALSE)</f>
        <v>Equivalente de arena</v>
      </c>
      <c r="D24" s="592"/>
      <c r="E24" s="592"/>
      <c r="F24" s="592"/>
      <c r="G24" s="592"/>
      <c r="H24" s="592"/>
      <c r="I24" s="592"/>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593" t="s">
        <v>3105</v>
      </c>
      <c r="M25" s="594"/>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8" t="s">
        <v>2516</v>
      </c>
      <c r="M26" s="599"/>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600" t="s">
        <v>5911</v>
      </c>
      <c r="M27" s="601"/>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602" t="s">
        <v>4014</v>
      </c>
      <c r="C29" s="602"/>
      <c r="D29" s="602"/>
      <c r="E29" s="602"/>
      <c r="F29" s="602"/>
      <c r="G29" s="602"/>
      <c r="H29" s="602"/>
      <c r="I29" s="602"/>
      <c r="J29" s="602"/>
      <c r="K29" s="602"/>
      <c r="L29" s="602"/>
      <c r="M29" s="602"/>
      <c r="N29" s="602"/>
      <c r="O29" s="336"/>
      <c r="P29" s="406"/>
      <c r="Q29" s="327"/>
      <c r="R29" s="327"/>
      <c r="S29" s="327"/>
      <c r="T29" s="327"/>
      <c r="U29" s="327"/>
      <c r="V29" s="327"/>
      <c r="W29" s="327"/>
      <c r="X29" s="327"/>
      <c r="Y29" s="327"/>
    </row>
    <row r="30" spans="2:25" s="322" customFormat="1" ht="123.6" customHeight="1" x14ac:dyDescent="0.3">
      <c r="B30" s="590" t="s">
        <v>5904</v>
      </c>
      <c r="C30" s="590"/>
      <c r="D30" s="590"/>
      <c r="E30" s="590"/>
      <c r="F30" s="590"/>
      <c r="G30" s="590"/>
      <c r="H30" s="590"/>
      <c r="I30" s="590"/>
      <c r="J30" s="590"/>
      <c r="K30" s="590"/>
      <c r="L30" s="590"/>
      <c r="M30" s="590"/>
      <c r="N30" s="590"/>
      <c r="O30" s="336"/>
      <c r="P30" s="406"/>
      <c r="Q30" s="327"/>
      <c r="R30" s="327"/>
      <c r="S30" s="327"/>
      <c r="T30" s="327"/>
      <c r="U30" s="327"/>
      <c r="V30" s="327"/>
      <c r="W30" s="327"/>
      <c r="X30" s="327"/>
      <c r="Y30" s="327"/>
    </row>
    <row r="31" spans="2:25" s="322" customFormat="1" ht="79.95" customHeight="1" x14ac:dyDescent="0.3">
      <c r="B31" s="584" t="s">
        <v>5899</v>
      </c>
      <c r="C31" s="584"/>
      <c r="D31" s="584"/>
      <c r="E31" s="584"/>
      <c r="F31" s="584"/>
      <c r="G31" s="584"/>
      <c r="H31" s="584"/>
      <c r="I31" s="584"/>
      <c r="J31" s="584"/>
      <c r="K31" s="584"/>
      <c r="L31" s="584"/>
      <c r="M31" s="584"/>
      <c r="N31" s="584"/>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0" t="s">
        <v>5898</v>
      </c>
      <c r="C33" s="590"/>
      <c r="D33" s="590"/>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0" t="s">
        <v>4017</v>
      </c>
      <c r="C34" s="590"/>
      <c r="D34" s="590"/>
      <c r="E34" s="590"/>
      <c r="F34" s="590"/>
      <c r="G34" s="590"/>
      <c r="H34" s="590"/>
      <c r="I34" s="590"/>
      <c r="J34" s="590"/>
      <c r="K34" s="590"/>
      <c r="L34" s="590"/>
      <c r="M34" s="590"/>
      <c r="N34" s="590"/>
      <c r="O34" s="270"/>
      <c r="P34" s="404"/>
      <c r="Q34" s="292"/>
      <c r="R34" s="292"/>
      <c r="S34" s="292"/>
      <c r="T34" s="292"/>
      <c r="U34" s="292"/>
      <c r="V34" s="292"/>
      <c r="W34" s="292"/>
      <c r="X34" s="292"/>
      <c r="Y34" s="292"/>
    </row>
    <row r="35" spans="2:25" ht="77.25" customHeight="1" x14ac:dyDescent="0.3">
      <c r="B35" s="590" t="s">
        <v>5900</v>
      </c>
      <c r="C35" s="590"/>
      <c r="D35" s="590"/>
      <c r="E35" s="590"/>
      <c r="F35" s="590"/>
      <c r="G35" s="590"/>
      <c r="H35" s="590"/>
      <c r="I35" s="590"/>
      <c r="J35" s="590"/>
      <c r="K35" s="590"/>
      <c r="L35" s="590"/>
      <c r="M35" s="590"/>
      <c r="N35" s="590"/>
      <c r="O35" s="270"/>
      <c r="P35" s="404"/>
      <c r="Q35" s="292"/>
      <c r="R35" s="292"/>
      <c r="S35" s="292"/>
      <c r="T35" s="292"/>
      <c r="U35" s="292"/>
      <c r="V35" s="292"/>
      <c r="W35" s="292"/>
      <c r="X35" s="292"/>
      <c r="Y35" s="292"/>
    </row>
    <row r="36" spans="2:25" s="322" customFormat="1" ht="76.5" customHeight="1" x14ac:dyDescent="0.3">
      <c r="B36" s="589" t="s">
        <v>5901</v>
      </c>
      <c r="C36" s="589"/>
      <c r="D36" s="589"/>
      <c r="E36" s="589"/>
      <c r="F36" s="589"/>
      <c r="G36" s="589"/>
      <c r="H36" s="589"/>
      <c r="I36" s="589"/>
      <c r="J36" s="589"/>
      <c r="K36" s="589"/>
      <c r="L36" s="589"/>
      <c r="M36" s="589"/>
      <c r="N36" s="589"/>
      <c r="O36" s="323"/>
      <c r="P36" s="324"/>
    </row>
    <row r="37" spans="2:25" s="322" customFormat="1" ht="147.6" customHeight="1" x14ac:dyDescent="0.3">
      <c r="B37" s="590" t="s">
        <v>5907</v>
      </c>
      <c r="C37" s="590"/>
      <c r="D37" s="590"/>
      <c r="E37" s="590"/>
      <c r="F37" s="590"/>
      <c r="G37" s="590"/>
      <c r="H37" s="590"/>
      <c r="I37" s="590"/>
      <c r="J37" s="590"/>
      <c r="K37" s="590"/>
      <c r="L37" s="590"/>
      <c r="M37" s="590"/>
      <c r="N37" s="590"/>
      <c r="O37" s="323"/>
      <c r="P37" s="324"/>
      <c r="Q37" s="325"/>
      <c r="R37" s="326"/>
    </row>
    <row r="38" spans="2:25" s="322" customFormat="1" ht="45.6" customHeight="1" x14ac:dyDescent="0.3">
      <c r="B38" s="590" t="s">
        <v>4015</v>
      </c>
      <c r="C38" s="590"/>
      <c r="D38" s="590"/>
      <c r="E38" s="590"/>
      <c r="F38" s="590"/>
      <c r="G38" s="590"/>
      <c r="H38" s="590"/>
      <c r="I38" s="590"/>
      <c r="J38" s="590"/>
      <c r="K38" s="590"/>
      <c r="L38" s="590"/>
      <c r="M38" s="590"/>
      <c r="N38" s="590"/>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591" t="s">
        <v>2477</v>
      </c>
      <c r="C45" s="591"/>
      <c r="D45" s="591"/>
      <c r="E45" s="591"/>
      <c r="F45" s="591"/>
      <c r="G45" s="591"/>
      <c r="H45" s="591"/>
      <c r="I45" s="591"/>
      <c r="J45" s="591"/>
      <c r="K45" s="591"/>
      <c r="L45" s="591"/>
      <c r="M45" s="591"/>
      <c r="N45" s="591"/>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0" t="s">
        <v>5906</v>
      </c>
      <c r="C58" s="590"/>
      <c r="D58" s="590"/>
      <c r="E58" s="590"/>
      <c r="F58" s="590"/>
      <c r="G58" s="590"/>
      <c r="H58" s="590"/>
      <c r="I58" s="590"/>
      <c r="J58" s="590"/>
      <c r="K58" s="590"/>
      <c r="L58" s="590"/>
      <c r="M58" s="590"/>
      <c r="N58" s="590"/>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4"/>
      <c r="C66" s="584"/>
      <c r="D66" s="584"/>
      <c r="E66" s="584"/>
      <c r="M66" s="585"/>
      <c r="N66" s="585"/>
      <c r="Q66" s="332"/>
      <c r="R66" s="332"/>
    </row>
    <row r="67" spans="2:18" ht="51" customHeight="1" x14ac:dyDescent="0.3">
      <c r="B67" s="586" t="s">
        <v>5903</v>
      </c>
      <c r="C67" s="586"/>
      <c r="D67" s="586"/>
      <c r="E67" s="330"/>
      <c r="F67" s="330"/>
      <c r="G67" s="431"/>
      <c r="H67" s="431"/>
      <c r="I67" s="409"/>
      <c r="J67" s="409"/>
      <c r="K67" s="409"/>
      <c r="L67" s="409"/>
      <c r="M67" s="587" t="s">
        <v>2485</v>
      </c>
      <c r="N67" s="587"/>
    </row>
  </sheetData>
  <mergeCells count="41">
    <mergeCell ref="G3:K3"/>
    <mergeCell ref="C16:I16"/>
    <mergeCell ref="E10:I10"/>
    <mergeCell ref="B13:N14"/>
    <mergeCell ref="L10:N10"/>
    <mergeCell ref="D9:I9"/>
    <mergeCell ref="E8:I8"/>
    <mergeCell ref="D7:I7"/>
    <mergeCell ref="D6:I6"/>
    <mergeCell ref="D5:I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25" t="s">
        <v>6056</v>
      </c>
      <c r="C2" s="625"/>
      <c r="D2" s="625"/>
      <c r="E2" s="625"/>
      <c r="F2" s="625"/>
      <c r="G2" s="625"/>
      <c r="H2" s="625"/>
      <c r="I2" s="625"/>
      <c r="J2" s="625"/>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5"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5"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5"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5"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3" t="s">
        <v>6065</v>
      </c>
      <c r="C19" s="590"/>
      <c r="D19" s="590"/>
      <c r="E19" s="590"/>
      <c r="F19" s="590"/>
      <c r="G19" s="590"/>
      <c r="H19" s="590"/>
      <c r="I19" s="590"/>
      <c r="J19" s="614"/>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5"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6" t="s">
        <v>6068</v>
      </c>
      <c r="C26" s="617"/>
      <c r="D26" s="617"/>
      <c r="E26" s="617"/>
      <c r="F26" s="617"/>
      <c r="G26" s="617"/>
      <c r="H26" s="617"/>
      <c r="I26" s="617"/>
      <c r="J26" s="618"/>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5"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6" t="s">
        <v>2490</v>
      </c>
      <c r="C34" s="617"/>
      <c r="D34" s="617"/>
      <c r="E34" s="617"/>
      <c r="F34" s="617"/>
      <c r="G34" s="617"/>
      <c r="H34" s="617"/>
      <c r="I34" s="617"/>
      <c r="J34" s="618"/>
    </row>
    <row r="35" spans="2:10" ht="25.2" customHeight="1" x14ac:dyDescent="0.3">
      <c r="B35" s="472" t="s">
        <v>2260</v>
      </c>
      <c r="C35" s="446"/>
      <c r="D35" s="446"/>
      <c r="E35" s="446"/>
      <c r="F35" s="446"/>
      <c r="G35" s="446"/>
      <c r="H35" s="446"/>
      <c r="I35" s="446"/>
      <c r="J35" s="447"/>
    </row>
    <row r="36" spans="2:10" ht="88.2" customHeight="1" x14ac:dyDescent="0.3">
      <c r="B36" s="610"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2" t="s">
        <v>2493</v>
      </c>
      <c r="C39" s="623"/>
      <c r="D39" s="623"/>
      <c r="E39" s="623"/>
      <c r="F39" s="623"/>
      <c r="G39" s="623"/>
      <c r="H39" s="623"/>
      <c r="I39" s="623"/>
      <c r="J39" s="624"/>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19" t="s">
        <v>2486</v>
      </c>
      <c r="C42" s="620"/>
      <c r="D42" s="620"/>
      <c r="E42" s="620"/>
      <c r="F42" s="620"/>
      <c r="G42" s="620"/>
      <c r="H42" s="620"/>
      <c r="I42" s="620"/>
      <c r="J42" s="621"/>
    </row>
    <row r="62" spans="6:9" x14ac:dyDescent="0.3">
      <c r="F62" s="318"/>
      <c r="G62" s="318"/>
      <c r="H62" s="318"/>
      <c r="I62" s="318"/>
    </row>
    <row r="63" spans="6:9" x14ac:dyDescent="0.3">
      <c r="F63" s="318"/>
      <c r="G63" s="609"/>
      <c r="H63" s="609"/>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B2:J2"/>
    <mergeCell ref="B5:J5"/>
    <mergeCell ref="B9:J9"/>
    <mergeCell ref="B13:J13"/>
    <mergeCell ref="B16:J16"/>
    <mergeCell ref="G63:H63"/>
    <mergeCell ref="B36:J36"/>
    <mergeCell ref="B19:J19"/>
    <mergeCell ref="B22:J22"/>
    <mergeCell ref="B30:J30"/>
    <mergeCell ref="B34:J34"/>
    <mergeCell ref="B42:J42"/>
    <mergeCell ref="B39:J39"/>
    <mergeCell ref="B26:J2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41</v>
      </c>
      <c r="H3" s="626"/>
      <c r="I3" s="626"/>
      <c r="J3" s="626"/>
      <c r="K3" s="626"/>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607" t="str">
        <f>VLOOKUP($Q$3,BD_Clientes,2,FALSE)</f>
        <v>GEOFAL SAC</v>
      </c>
      <c r="E5" s="607"/>
      <c r="F5" s="607"/>
      <c r="G5" s="607"/>
      <c r="H5" s="607"/>
      <c r="I5" s="607"/>
      <c r="J5" s="344" t="s">
        <v>5893</v>
      </c>
      <c r="L5" s="628" t="s">
        <v>6524</v>
      </c>
      <c r="M5" s="628"/>
      <c r="N5" s="628"/>
      <c r="P5" s="626">
        <v>222</v>
      </c>
      <c r="Q5" s="626"/>
      <c r="R5" s="626"/>
      <c r="S5" s="626"/>
      <c r="T5" s="626"/>
    </row>
    <row r="6" spans="2:20" ht="27" customHeight="1" x14ac:dyDescent="0.3">
      <c r="B6" s="331" t="s">
        <v>5891</v>
      </c>
      <c r="C6" s="331"/>
      <c r="D6" s="607">
        <f>VLOOKUP($Q$3,BD_Clientes,3,FALSE)</f>
        <v>20549356762</v>
      </c>
      <c r="E6" s="607"/>
      <c r="F6" s="607"/>
      <c r="G6" s="607"/>
      <c r="H6" s="607"/>
      <c r="I6" s="607"/>
      <c r="J6" s="322"/>
      <c r="K6" s="343"/>
      <c r="L6" s="476"/>
      <c r="M6" s="476"/>
      <c r="N6" s="476"/>
      <c r="P6" s="629">
        <v>222</v>
      </c>
      <c r="Q6" s="629"/>
      <c r="R6" s="629"/>
      <c r="S6" s="629"/>
      <c r="T6" s="629"/>
    </row>
    <row r="7" spans="2:20" ht="46.5" customHeight="1" x14ac:dyDescent="0.3">
      <c r="B7" s="331" t="s">
        <v>2499</v>
      </c>
      <c r="C7" s="331"/>
      <c r="D7" s="607" t="s">
        <v>6204</v>
      </c>
      <c r="E7" s="607"/>
      <c r="F7" s="607"/>
      <c r="G7" s="607"/>
      <c r="H7" s="607"/>
      <c r="I7" s="607"/>
      <c r="J7" s="344" t="s">
        <v>5894</v>
      </c>
      <c r="L7" s="628" t="s">
        <v>117</v>
      </c>
      <c r="M7" s="628"/>
      <c r="N7" s="628"/>
      <c r="P7" s="627">
        <v>222</v>
      </c>
      <c r="Q7" s="627"/>
      <c r="R7" s="627"/>
      <c r="S7" s="627"/>
      <c r="T7" s="627"/>
    </row>
    <row r="8" spans="2:20" ht="39" customHeight="1" x14ac:dyDescent="0.3">
      <c r="B8" s="331" t="s">
        <v>5892</v>
      </c>
      <c r="C8" s="331"/>
      <c r="D8" s="331"/>
      <c r="E8" s="607">
        <v>913072224</v>
      </c>
      <c r="F8" s="607"/>
      <c r="G8" s="607"/>
      <c r="H8" s="607"/>
      <c r="I8" s="607"/>
      <c r="J8" s="347" t="s">
        <v>5895</v>
      </c>
      <c r="K8" s="347"/>
      <c r="L8" s="432" t="s">
        <v>3253</v>
      </c>
      <c r="M8" s="322"/>
      <c r="N8" s="322"/>
      <c r="P8" s="337"/>
      <c r="Q8" s="337"/>
    </row>
    <row r="9" spans="2:20" ht="40.5" customHeight="1" x14ac:dyDescent="0.3">
      <c r="B9" s="331" t="s">
        <v>2506</v>
      </c>
      <c r="C9" s="331"/>
      <c r="D9" s="607" t="str">
        <f>VLOOKUP($Q$3,BD_Clientes,8,FALSE)</f>
        <v>ingenieria@geofal.com.pe</v>
      </c>
      <c r="E9" s="607"/>
      <c r="F9" s="607"/>
      <c r="G9" s="607"/>
      <c r="H9" s="607"/>
      <c r="I9" s="607"/>
      <c r="J9" s="346" t="s">
        <v>5915</v>
      </c>
      <c r="K9" s="346"/>
      <c r="L9" s="428">
        <v>982429895</v>
      </c>
      <c r="M9" s="343"/>
      <c r="N9" s="343"/>
    </row>
    <row r="10" spans="2:20" ht="42.7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15" s="269" customFormat="1" ht="28.5" customHeight="1" x14ac:dyDescent="0.3">
      <c r="B17" s="430"/>
      <c r="C17" s="631" t="s">
        <v>996</v>
      </c>
      <c r="D17" s="632"/>
      <c r="E17" s="632"/>
      <c r="F17" s="632"/>
      <c r="G17" s="632"/>
      <c r="H17" s="632"/>
      <c r="I17" s="633"/>
      <c r="J17" s="340"/>
      <c r="K17" s="340"/>
      <c r="L17" s="484">
        <v>900</v>
      </c>
      <c r="M17" s="478">
        <v>1</v>
      </c>
      <c r="N17" s="484">
        <v>900</v>
      </c>
      <c r="O17" s="321"/>
    </row>
    <row r="18" spans="2:15" s="482" customFormat="1" ht="26.1" customHeight="1" x14ac:dyDescent="0.3">
      <c r="B18" s="477" t="s">
        <v>2025</v>
      </c>
      <c r="C18" s="630" t="str">
        <f>VLOOKUP(B18,ENS.!$B$5:$H$167,2,FALSE)</f>
        <v>Análisis granulométrico por tamizado en Suelo</v>
      </c>
      <c r="D18" s="630"/>
      <c r="E18" s="630"/>
      <c r="F18" s="630"/>
      <c r="G18" s="630"/>
      <c r="H18" s="630"/>
      <c r="I18" s="630"/>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30" t="str">
        <f>VLOOKUP(B19,ENS.!$B$5:$H$167,2,FALSE)</f>
        <v xml:space="preserve">Límite líquido y Límite Plástico del Suelo </v>
      </c>
      <c r="D19" s="630"/>
      <c r="E19" s="630"/>
      <c r="F19" s="630"/>
      <c r="G19" s="630"/>
      <c r="H19" s="630"/>
      <c r="I19" s="630"/>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30" t="str">
        <f>VLOOKUP(B20,ENS.!$B$5:$H$167,2,FALSE)</f>
        <v>Contenido de humedad en suelos</v>
      </c>
      <c r="D20" s="630"/>
      <c r="E20" s="630"/>
      <c r="F20" s="630"/>
      <c r="G20" s="630"/>
      <c r="H20" s="630"/>
      <c r="I20" s="630"/>
      <c r="J20" s="478" t="str">
        <f>VLOOKUP(B20,ENS.!$B$5:$H$167,3,FALSE)</f>
        <v>ASTM D2216-19</v>
      </c>
      <c r="K20" s="478" t="str">
        <f>VLOOKUP(B20,ENS.!$B$5:$H$167,4,FALSE)</f>
        <v>SI</v>
      </c>
      <c r="L20" s="479"/>
      <c r="M20" s="478">
        <v>1</v>
      </c>
      <c r="N20" s="480"/>
      <c r="O20" s="481"/>
    </row>
    <row r="21" spans="2:15" s="482" customFormat="1" ht="26.1" customHeight="1" x14ac:dyDescent="0.3">
      <c r="B21" s="477" t="s">
        <v>2020</v>
      </c>
      <c r="C21" s="630" t="str">
        <f>VLOOKUP(B21,ENS.!$B$5:$H$167,2,FALSE)</f>
        <v>Clasificación suelo SUCS - AASHTO</v>
      </c>
      <c r="D21" s="630"/>
      <c r="E21" s="630"/>
      <c r="F21" s="630"/>
      <c r="G21" s="630"/>
      <c r="H21" s="630"/>
      <c r="I21" s="630"/>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30" t="str">
        <f>VLOOKUP(B22,ENS.!$B$5:$H$167,2,FALSE)</f>
        <v>Sales solubles en Suelos y Agua.</v>
      </c>
      <c r="D22" s="630"/>
      <c r="E22" s="630"/>
      <c r="F22" s="630"/>
      <c r="G22" s="630"/>
      <c r="H22" s="630"/>
      <c r="I22" s="630"/>
      <c r="J22" s="478" t="str">
        <f>VLOOKUP(B22,ENS.!$B$5:$H$167,3,FALSE)</f>
        <v>NTP 339.152</v>
      </c>
      <c r="K22" s="478" t="str">
        <f>VLOOKUP(B22,ENS.!$B$5:$H$167,4,FALSE)</f>
        <v>NO</v>
      </c>
      <c r="L22" s="479"/>
      <c r="M22" s="478">
        <v>1</v>
      </c>
      <c r="N22" s="480"/>
      <c r="O22" s="481"/>
    </row>
    <row r="23" spans="2:15" s="482" customFormat="1" ht="26.1" customHeight="1" x14ac:dyDescent="0.3">
      <c r="B23" s="477" t="s">
        <v>1997</v>
      </c>
      <c r="C23" s="630" t="str">
        <f>VLOOKUP(B23,ENS.!$B$5:$H$167,2,FALSE)</f>
        <v>Cloruros Solubles en Suelos y Agua.</v>
      </c>
      <c r="D23" s="630"/>
      <c r="E23" s="630"/>
      <c r="F23" s="630"/>
      <c r="G23" s="630"/>
      <c r="H23" s="630"/>
      <c r="I23" s="630"/>
      <c r="J23" s="478" t="str">
        <f>VLOOKUP(B23,ENS.!$B$5:$H$167,3,FALSE)</f>
        <v>NTP 339.177</v>
      </c>
      <c r="K23" s="478" t="str">
        <f>VLOOKUP(B23,ENS.!$B$5:$H$167,4,FALSE)</f>
        <v>NO</v>
      </c>
      <c r="L23" s="479"/>
      <c r="M23" s="478">
        <v>1</v>
      </c>
      <c r="N23" s="480"/>
      <c r="O23" s="481"/>
    </row>
    <row r="24" spans="2:15" s="482" customFormat="1" ht="26.1" customHeight="1" x14ac:dyDescent="0.3">
      <c r="B24" s="477" t="s">
        <v>2000</v>
      </c>
      <c r="C24" s="630" t="str">
        <f>VLOOKUP(B24,ENS.!$B$5:$H$167,2,FALSE)</f>
        <v>Sulfatos Solubles en Suelos y Agua.</v>
      </c>
      <c r="D24" s="630"/>
      <c r="E24" s="630"/>
      <c r="F24" s="630"/>
      <c r="G24" s="630"/>
      <c r="H24" s="630"/>
      <c r="I24" s="630"/>
      <c r="J24" s="478" t="str">
        <f>VLOOKUP(B24,ENS.!$B$5:$H$167,3,FALSE)</f>
        <v>NTP 339.178</v>
      </c>
      <c r="K24" s="478" t="str">
        <f>VLOOKUP(B24,ENS.!$B$5:$H$167,4,FALSE)</f>
        <v>NO</v>
      </c>
      <c r="L24" s="479"/>
      <c r="M24" s="478">
        <v>1</v>
      </c>
      <c r="N24" s="480"/>
      <c r="O24" s="481"/>
    </row>
    <row r="25" spans="2:15" s="482" customFormat="1" ht="26.1" customHeight="1" x14ac:dyDescent="0.3">
      <c r="B25" s="477" t="s">
        <v>1951</v>
      </c>
      <c r="C25" s="630" t="str">
        <f>VLOOKUP(B25,ENS.!$B$5:$H$167,2,FALSE)</f>
        <v>Determinación del PH en Suelo y Agua.</v>
      </c>
      <c r="D25" s="630"/>
      <c r="E25" s="630"/>
      <c r="F25" s="630"/>
      <c r="G25" s="630"/>
      <c r="H25" s="630"/>
      <c r="I25" s="630"/>
      <c r="J25" s="478" t="str">
        <f>VLOOKUP(B25,ENS.!$B$5:$H$167,3,FALSE)</f>
        <v>NTP 339.176</v>
      </c>
      <c r="K25" s="478" t="str">
        <f>VLOOKUP(B25,ENS.!$B$5:$H$167,4,FALSE)</f>
        <v>NO</v>
      </c>
      <c r="L25" s="479"/>
      <c r="M25" s="478">
        <v>1</v>
      </c>
      <c r="N25" s="480"/>
      <c r="O25" s="481"/>
    </row>
    <row r="26" spans="2:15" s="482" customFormat="1" ht="26.1" customHeight="1" x14ac:dyDescent="0.3">
      <c r="B26" s="477" t="s">
        <v>1959</v>
      </c>
      <c r="C26" s="630" t="str">
        <f>VLOOKUP(B26,ENS.!$B$5:$H$167,2,FALSE)</f>
        <v>Corte Directo.</v>
      </c>
      <c r="D26" s="630"/>
      <c r="E26" s="630"/>
      <c r="F26" s="630"/>
      <c r="G26" s="630"/>
      <c r="H26" s="630"/>
      <c r="I26" s="630"/>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30" t="str">
        <f>VLOOKUP(B27,ENS.!$B$5:$H$167,2,FALSE)</f>
        <v>Resistencia a la Compresión no confinada de suelos cohesivos</v>
      </c>
      <c r="D27" s="630"/>
      <c r="E27" s="630"/>
      <c r="F27" s="630"/>
      <c r="G27" s="630"/>
      <c r="H27" s="630"/>
      <c r="I27" s="630"/>
      <c r="J27" s="478" t="str">
        <f>VLOOKUP(B27,ENS.!$B$5:$H$167,3,FALSE)</f>
        <v>NTP 339.167</v>
      </c>
      <c r="K27" s="478" t="str">
        <f>VLOOKUP(B27,ENS.!$B$5:$H$167,4,FALSE)</f>
        <v>NO</v>
      </c>
      <c r="L27" s="479"/>
      <c r="M27" s="478"/>
      <c r="N27" s="480"/>
      <c r="O27" s="481"/>
    </row>
    <row r="28" spans="2:15" s="482" customFormat="1" ht="26.1" hidden="1" customHeight="1" x14ac:dyDescent="0.3">
      <c r="B28" s="477" t="s">
        <v>1962</v>
      </c>
      <c r="C28" s="630" t="str">
        <f>VLOOKUP(B28,ENS.!$B$5:$H$167,2,FALSE)</f>
        <v>Densidad del suelo IN-SITU, Cono de Arena 6"</v>
      </c>
      <c r="D28" s="630"/>
      <c r="E28" s="630"/>
      <c r="F28" s="630"/>
      <c r="G28" s="630"/>
      <c r="H28" s="630"/>
      <c r="I28" s="630"/>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30" t="str">
        <f>VLOOKUP(B29,ENS.!$B$5:$H$167,2,FALSE)</f>
        <v>Carga Puntual (incluye tallado y ensayo 10 especimenes).</v>
      </c>
      <c r="D29" s="630"/>
      <c r="E29" s="630"/>
      <c r="F29" s="630"/>
      <c r="G29" s="630"/>
      <c r="H29" s="630"/>
      <c r="I29" s="630"/>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30" t="str">
        <f>VLOOKUP(B30,ENS.!$B$5:$H$167,2,FALSE)</f>
        <v>Gravedad especifica y absorción de roca.</v>
      </c>
      <c r="D30" s="630"/>
      <c r="E30" s="630"/>
      <c r="F30" s="630"/>
      <c r="G30" s="630"/>
      <c r="H30" s="630"/>
      <c r="I30" s="630"/>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30" t="str">
        <f>VLOOKUP(B31,ENS.!$B$5:$H$167,2,FALSE)</f>
        <v>Gravedad especifica y absorción de agregado grueso</v>
      </c>
      <c r="D31" s="630"/>
      <c r="E31" s="630"/>
      <c r="F31" s="630"/>
      <c r="G31" s="630"/>
      <c r="H31" s="630"/>
      <c r="I31" s="630"/>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30" t="str">
        <f>VLOOKUP(B32,ENS.!$B$5:$H$167,2,FALSE)</f>
        <v>Gravedad específica de los sólidos del suelo.</v>
      </c>
      <c r="D32" s="630"/>
      <c r="E32" s="630"/>
      <c r="F32" s="630"/>
      <c r="G32" s="630"/>
      <c r="H32" s="630"/>
      <c r="I32" s="630"/>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30" t="str">
        <f>VLOOKUP(B33,ENS.!$B$5:$H$167,2,FALSE)</f>
        <v xml:space="preserve">Próctor modificado </v>
      </c>
      <c r="D33" s="630"/>
      <c r="E33" s="630"/>
      <c r="F33" s="630"/>
      <c r="G33" s="630"/>
      <c r="H33" s="630"/>
      <c r="I33" s="630"/>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30" t="str">
        <f>VLOOKUP(B34,ENS.!$B$5:$H$167,2,FALSE)</f>
        <v>California Bearing Ratio (CBR)</v>
      </c>
      <c r="D34" s="630"/>
      <c r="E34" s="630"/>
      <c r="F34" s="630"/>
      <c r="G34" s="630"/>
      <c r="H34" s="630"/>
      <c r="I34" s="630"/>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30" t="str">
        <f>VLOOKUP(B35,ENS.!$B$5:$H$167,2,FALSE)</f>
        <v>Densidad del suelo IN-SITU, Cono de Arena 6"</v>
      </c>
      <c r="D35" s="630"/>
      <c r="E35" s="630"/>
      <c r="F35" s="630"/>
      <c r="G35" s="630"/>
      <c r="H35" s="630"/>
      <c r="I35" s="630"/>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30" t="str">
        <f>VLOOKUP(B36,ENS.!$B$5:$H$167,2,FALSE)</f>
        <v>Compresión triaxial no consolidado no drenado UU, diametro 75 mm</v>
      </c>
      <c r="D36" s="630"/>
      <c r="E36" s="630"/>
      <c r="F36" s="630"/>
      <c r="G36" s="630"/>
      <c r="H36" s="630"/>
      <c r="I36" s="630"/>
      <c r="J36" s="478" t="str">
        <f>VLOOKUP(B36,ENS.!$B$5:$H$167,3,FALSE)</f>
        <v>ASTM D2850</v>
      </c>
      <c r="K36" s="478" t="str">
        <f>VLOOKUP(B36,ENS.!$B$5:$H$167,4,FALSE)</f>
        <v>NO</v>
      </c>
      <c r="L36" s="479"/>
      <c r="M36" s="478"/>
      <c r="N36" s="480"/>
      <c r="O36" s="481"/>
    </row>
    <row r="37" spans="2:25" s="482" customFormat="1" ht="26.1" hidden="1" customHeight="1" x14ac:dyDescent="0.3">
      <c r="B37" s="483" t="s">
        <v>5929</v>
      </c>
      <c r="C37" s="630" t="str">
        <f>VLOOKUP(B37,ENS.!$B$5:$H$167,2,FALSE)</f>
        <v>Compresión triaxial consolidado no drenado CU, diametro 75 mm</v>
      </c>
      <c r="D37" s="630"/>
      <c r="E37" s="630"/>
      <c r="F37" s="630"/>
      <c r="G37" s="630"/>
      <c r="H37" s="630"/>
      <c r="I37" s="630"/>
      <c r="J37" s="478" t="str">
        <f>VLOOKUP(B37,ENS.!$B$5:$H$167,3,FALSE)</f>
        <v>ASTM D4767</v>
      </c>
      <c r="K37" s="478" t="str">
        <f>VLOOKUP(B37,ENS.!$B$5:$H$167,4,FALSE)</f>
        <v>NO</v>
      </c>
      <c r="L37" s="479"/>
      <c r="M37" s="478"/>
      <c r="N37" s="480"/>
      <c r="O37" s="481"/>
    </row>
    <row r="38" spans="2:25" s="482" customFormat="1" ht="26.1" hidden="1" customHeight="1" x14ac:dyDescent="0.3">
      <c r="B38" s="483" t="s">
        <v>5931</v>
      </c>
      <c r="C38" s="630" t="str">
        <f>VLOOKUP(B38,ENS.!$B$5:$H$167,2,FALSE)</f>
        <v>Compresión triaxial consolidado drenado CD, diametro 75 mm</v>
      </c>
      <c r="D38" s="630"/>
      <c r="E38" s="630"/>
      <c r="F38" s="630"/>
      <c r="G38" s="630"/>
      <c r="H38" s="630"/>
      <c r="I38" s="630"/>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593" t="s">
        <v>3105</v>
      </c>
      <c r="M39" s="594"/>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8" t="s">
        <v>2516</v>
      </c>
      <c r="M40" s="599"/>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600" t="s">
        <v>5911</v>
      </c>
      <c r="M41" s="601"/>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602" t="s">
        <v>4014</v>
      </c>
      <c r="C43" s="602"/>
      <c r="D43" s="602"/>
      <c r="E43" s="602"/>
      <c r="F43" s="602"/>
      <c r="G43" s="602"/>
      <c r="H43" s="602"/>
      <c r="I43" s="602"/>
      <c r="J43" s="602"/>
      <c r="K43" s="602"/>
      <c r="L43" s="602"/>
      <c r="M43" s="602"/>
      <c r="N43" s="602"/>
      <c r="O43" s="336"/>
      <c r="P43" s="406"/>
      <c r="Q43" s="327"/>
      <c r="R43" s="327"/>
      <c r="S43" s="327"/>
      <c r="T43" s="327"/>
      <c r="U43" s="327"/>
      <c r="V43" s="327"/>
      <c r="W43" s="327"/>
      <c r="X43" s="327"/>
      <c r="Y43" s="327"/>
    </row>
    <row r="44" spans="2:25" s="322" customFormat="1" ht="123.6" customHeight="1" x14ac:dyDescent="0.3">
      <c r="B44" s="590" t="s">
        <v>6205</v>
      </c>
      <c r="C44" s="590"/>
      <c r="D44" s="590"/>
      <c r="E44" s="590"/>
      <c r="F44" s="590"/>
      <c r="G44" s="590"/>
      <c r="H44" s="590"/>
      <c r="I44" s="590"/>
      <c r="J44" s="590"/>
      <c r="K44" s="590"/>
      <c r="L44" s="590"/>
      <c r="M44" s="590"/>
      <c r="N44" s="590"/>
      <c r="O44" s="336"/>
      <c r="P44" s="406"/>
      <c r="Q44" s="327"/>
      <c r="R44" s="327"/>
      <c r="S44" s="327"/>
      <c r="T44" s="327"/>
      <c r="U44" s="327"/>
      <c r="V44" s="327"/>
      <c r="W44" s="327"/>
      <c r="X44" s="327"/>
      <c r="Y44" s="327"/>
    </row>
    <row r="45" spans="2:25" s="322" customFormat="1" ht="85.5" customHeight="1" x14ac:dyDescent="0.3">
      <c r="B45" s="584" t="s">
        <v>6206</v>
      </c>
      <c r="C45" s="584"/>
      <c r="D45" s="584"/>
      <c r="E45" s="584"/>
      <c r="F45" s="584"/>
      <c r="G45" s="584"/>
      <c r="H45" s="584"/>
      <c r="I45" s="584"/>
      <c r="J45" s="584"/>
      <c r="K45" s="584"/>
      <c r="L45" s="584"/>
      <c r="M45" s="584"/>
      <c r="N45" s="584"/>
      <c r="O45" s="336"/>
      <c r="P45" s="406"/>
      <c r="Q45" s="327"/>
      <c r="R45" s="327"/>
      <c r="S45" s="327"/>
      <c r="T45" s="327"/>
      <c r="U45" s="327"/>
      <c r="V45" s="327"/>
      <c r="W45" s="327"/>
      <c r="X45" s="327"/>
      <c r="Y45" s="327"/>
    </row>
    <row r="46" spans="2:25" s="322" customFormat="1" ht="76.5" customHeight="1" x14ac:dyDescent="0.3">
      <c r="B46" s="586" t="s">
        <v>5898</v>
      </c>
      <c r="C46" s="586"/>
      <c r="D46" s="586"/>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0" t="s">
        <v>4017</v>
      </c>
      <c r="C47" s="590"/>
      <c r="D47" s="590"/>
      <c r="E47" s="590"/>
      <c r="F47" s="590"/>
      <c r="G47" s="590"/>
      <c r="H47" s="590"/>
      <c r="I47" s="590"/>
      <c r="J47" s="590"/>
      <c r="K47" s="590"/>
      <c r="L47" s="590"/>
      <c r="M47" s="590"/>
      <c r="N47" s="590"/>
      <c r="O47" s="270"/>
      <c r="P47" s="404"/>
      <c r="Q47" s="292"/>
      <c r="R47" s="292"/>
      <c r="S47" s="292"/>
      <c r="T47" s="292"/>
      <c r="U47" s="292"/>
      <c r="V47" s="292"/>
      <c r="W47" s="292"/>
      <c r="X47" s="292"/>
      <c r="Y47" s="292"/>
    </row>
    <row r="48" spans="2:25" ht="79.5" customHeight="1" x14ac:dyDescent="0.3">
      <c r="B48" s="590" t="s">
        <v>5900</v>
      </c>
      <c r="C48" s="590"/>
      <c r="D48" s="590"/>
      <c r="E48" s="590"/>
      <c r="F48" s="590"/>
      <c r="G48" s="590"/>
      <c r="H48" s="590"/>
      <c r="I48" s="590"/>
      <c r="J48" s="590"/>
      <c r="K48" s="590"/>
      <c r="L48" s="590"/>
      <c r="M48" s="590"/>
      <c r="N48" s="590"/>
      <c r="O48" s="270"/>
      <c r="P48" s="404"/>
      <c r="Q48" s="292"/>
      <c r="R48" s="292"/>
      <c r="S48" s="292"/>
      <c r="T48" s="292"/>
      <c r="U48" s="292"/>
      <c r="V48" s="292"/>
      <c r="W48" s="292"/>
      <c r="X48" s="292"/>
      <c r="Y48" s="292"/>
    </row>
    <row r="49" spans="2:25" s="322" customFormat="1" ht="82.5" customHeight="1" x14ac:dyDescent="0.3">
      <c r="B49" s="589" t="s">
        <v>5901</v>
      </c>
      <c r="C49" s="589"/>
      <c r="D49" s="589"/>
      <c r="E49" s="589"/>
      <c r="F49" s="589"/>
      <c r="G49" s="589"/>
      <c r="H49" s="589"/>
      <c r="I49" s="589"/>
      <c r="J49" s="589"/>
      <c r="K49" s="589"/>
      <c r="L49" s="589"/>
      <c r="M49" s="589"/>
      <c r="N49" s="589"/>
      <c r="O49" s="323"/>
      <c r="P49" s="324"/>
    </row>
    <row r="50" spans="2:25" s="322" customFormat="1" ht="147.6" customHeight="1" x14ac:dyDescent="0.3">
      <c r="B50" s="590" t="s">
        <v>5907</v>
      </c>
      <c r="C50" s="590"/>
      <c r="D50" s="590"/>
      <c r="E50" s="590"/>
      <c r="F50" s="590"/>
      <c r="G50" s="590"/>
      <c r="H50" s="590"/>
      <c r="I50" s="590"/>
      <c r="J50" s="590"/>
      <c r="K50" s="590"/>
      <c r="L50" s="590"/>
      <c r="M50" s="590"/>
      <c r="N50" s="590"/>
      <c r="O50" s="323"/>
      <c r="P50" s="324"/>
      <c r="Q50" s="325"/>
      <c r="R50" s="326"/>
    </row>
    <row r="51" spans="2:25" s="322" customFormat="1" ht="45.6" customHeight="1" x14ac:dyDescent="0.3">
      <c r="B51" s="590" t="s">
        <v>4015</v>
      </c>
      <c r="C51" s="590"/>
      <c r="D51" s="590"/>
      <c r="E51" s="590"/>
      <c r="F51" s="590"/>
      <c r="G51" s="590"/>
      <c r="H51" s="590"/>
      <c r="I51" s="590"/>
      <c r="J51" s="590"/>
      <c r="K51" s="590"/>
      <c r="L51" s="590"/>
      <c r="M51" s="590"/>
      <c r="N51" s="590"/>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591" t="s">
        <v>2477</v>
      </c>
      <c r="C58" s="591"/>
      <c r="D58" s="591"/>
      <c r="E58" s="591"/>
      <c r="F58" s="591"/>
      <c r="G58" s="591"/>
      <c r="H58" s="591"/>
      <c r="I58" s="591"/>
      <c r="J58" s="591"/>
      <c r="K58" s="591"/>
      <c r="L58" s="591"/>
      <c r="M58" s="591"/>
      <c r="N58" s="591"/>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0" t="s">
        <v>5906</v>
      </c>
      <c r="C71" s="590"/>
      <c r="D71" s="590"/>
      <c r="E71" s="590"/>
      <c r="F71" s="590"/>
      <c r="G71" s="590"/>
      <c r="H71" s="590"/>
      <c r="I71" s="590"/>
      <c r="J71" s="590"/>
      <c r="K71" s="590"/>
      <c r="L71" s="590"/>
      <c r="M71" s="590"/>
      <c r="N71" s="590"/>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4"/>
      <c r="C79" s="584"/>
      <c r="D79" s="584"/>
      <c r="E79" s="584"/>
      <c r="M79" s="585"/>
      <c r="N79" s="585"/>
      <c r="Q79" s="332"/>
      <c r="R79" s="332"/>
    </row>
    <row r="80" spans="2:18" ht="51" customHeight="1" x14ac:dyDescent="0.3">
      <c r="B80" s="586" t="s">
        <v>5903</v>
      </c>
      <c r="C80" s="586"/>
      <c r="D80" s="586"/>
      <c r="E80" s="330"/>
      <c r="F80" s="330"/>
      <c r="G80" s="431"/>
      <c r="H80" s="431"/>
      <c r="I80" s="409"/>
      <c r="J80" s="409"/>
      <c r="K80" s="409"/>
      <c r="L80" s="409"/>
      <c r="M80" s="587" t="s">
        <v>2485</v>
      </c>
      <c r="N80" s="587"/>
    </row>
  </sheetData>
  <mergeCells count="55">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 ref="M79:N79"/>
    <mergeCell ref="B43:N43"/>
    <mergeCell ref="B44:N44"/>
    <mergeCell ref="B45:N45"/>
    <mergeCell ref="B46:D46"/>
    <mergeCell ref="B47:N47"/>
    <mergeCell ref="B48:N48"/>
    <mergeCell ref="C31:I31"/>
    <mergeCell ref="L39:M39"/>
    <mergeCell ref="L40:M40"/>
    <mergeCell ref="L41:M41"/>
    <mergeCell ref="C32:I32"/>
    <mergeCell ref="C33:I33"/>
    <mergeCell ref="C34:I34"/>
    <mergeCell ref="C36:I36"/>
    <mergeCell ref="C37:I37"/>
    <mergeCell ref="C38:I38"/>
    <mergeCell ref="C35:I35"/>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G3:K3"/>
    <mergeCell ref="P7:T7"/>
    <mergeCell ref="D5:I5"/>
    <mergeCell ref="L5:N5"/>
    <mergeCell ref="D6:I6"/>
    <mergeCell ref="P5:T5"/>
    <mergeCell ref="P6:T6"/>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44</v>
      </c>
      <c r="H3" s="626"/>
      <c r="I3" s="626"/>
      <c r="J3" s="626"/>
      <c r="K3" s="626"/>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607" t="str">
        <f>VLOOKUP($Q$3,BD_Clientes,2,FALSE)</f>
        <v>INVERSIONES INMOBILIARIAS DE LAS CONDES S.A. (IMAGINA)</v>
      </c>
      <c r="E5" s="607"/>
      <c r="F5" s="607"/>
      <c r="G5" s="607"/>
      <c r="H5" s="607"/>
      <c r="I5" s="607"/>
      <c r="J5" s="344" t="s">
        <v>5893</v>
      </c>
      <c r="L5" s="628" t="str">
        <f>VLOOKUP($Q$3,BD_Clientes,9,FALSE)</f>
        <v>OCEAN BREATH</v>
      </c>
      <c r="M5" s="628"/>
      <c r="N5" s="628"/>
      <c r="P5" s="626">
        <v>222</v>
      </c>
      <c r="Q5" s="626"/>
      <c r="R5" s="626"/>
      <c r="S5" s="626"/>
      <c r="T5" s="626"/>
    </row>
    <row r="6" spans="2:20" ht="45.75" customHeight="1" x14ac:dyDescent="0.3">
      <c r="B6" s="331" t="s">
        <v>5891</v>
      </c>
      <c r="C6" s="331"/>
      <c r="D6" s="607">
        <f>VLOOKUP($Q$3,BD_Clientes,3,FALSE)</f>
        <v>20537745631</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Vania Carhuamaca</v>
      </c>
      <c r="E7" s="607"/>
      <c r="F7" s="607"/>
      <c r="G7" s="607"/>
      <c r="H7" s="607"/>
      <c r="I7" s="607"/>
      <c r="J7" s="344" t="s">
        <v>5894</v>
      </c>
      <c r="L7" s="588" t="str">
        <f>VLOOKUP($Q$3,BD_Clientes,10,FALSE)</f>
        <v>Av. Costanera 2880 - San Miguel</v>
      </c>
      <c r="M7" s="588"/>
      <c r="N7" s="588"/>
      <c r="P7" s="627">
        <v>222</v>
      </c>
      <c r="Q7" s="627"/>
      <c r="R7" s="627"/>
      <c r="S7" s="627"/>
      <c r="T7" s="627"/>
    </row>
    <row r="8" spans="2:20" ht="31.5" customHeight="1" x14ac:dyDescent="0.3">
      <c r="B8" s="331" t="s">
        <v>5892</v>
      </c>
      <c r="C8" s="331"/>
      <c r="D8" s="331"/>
      <c r="E8" s="607">
        <f>VLOOKUP($Q$3,BD_Clientes,7,FALSE)</f>
        <v>933372811</v>
      </c>
      <c r="F8" s="607"/>
      <c r="G8" s="607"/>
      <c r="H8" s="607"/>
      <c r="I8" s="607"/>
      <c r="J8" s="347" t="s">
        <v>5895</v>
      </c>
      <c r="K8" s="347"/>
      <c r="L8" s="432" t="s">
        <v>3253</v>
      </c>
      <c r="M8" s="322"/>
      <c r="N8" s="322"/>
      <c r="P8" s="337"/>
      <c r="Q8" s="337"/>
    </row>
    <row r="9" spans="2:20" ht="50.25" customHeight="1" x14ac:dyDescent="0.3">
      <c r="B9" s="331" t="s">
        <v>2506</v>
      </c>
      <c r="C9" s="331"/>
      <c r="D9" s="607" t="str">
        <f>VLOOKUP($Q$3,BD_Clientes,8,FALSE)</f>
        <v>Vania.Carhuamaca@imagina.pe</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9.9" customHeight="1" x14ac:dyDescent="0.3">
      <c r="B17" s="389" t="s">
        <v>2204</v>
      </c>
      <c r="C17" s="592" t="str">
        <f>VLOOKUP(B17,ENS.!$B$5:$H$167,2,FALSE)</f>
        <v>Compresión de testigos cilíndricos de concreto</v>
      </c>
      <c r="D17" s="592"/>
      <c r="E17" s="592"/>
      <c r="F17" s="592"/>
      <c r="G17" s="592"/>
      <c r="H17" s="592"/>
      <c r="I17" s="592"/>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593" t="s">
        <v>3105</v>
      </c>
      <c r="M19" s="594"/>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60.5" customHeight="1" x14ac:dyDescent="0.3">
      <c r="B24" s="590" t="s">
        <v>6503</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10.25" customHeight="1" x14ac:dyDescent="0.3">
      <c r="B25" s="584" t="s">
        <v>6197</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0" t="s">
        <v>5898</v>
      </c>
      <c r="C27" s="590"/>
      <c r="D27" s="590"/>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4" customHeight="1" x14ac:dyDescent="0.3">
      <c r="B30" s="589" t="s">
        <v>6544</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5">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C18:I18"/>
    <mergeCell ref="L19:M19"/>
    <mergeCell ref="L20:M20"/>
    <mergeCell ref="L21:M21"/>
    <mergeCell ref="B23:N23"/>
    <mergeCell ref="B24:N24"/>
    <mergeCell ref="B25:N25"/>
    <mergeCell ref="B27:D27"/>
    <mergeCell ref="B60:E60"/>
    <mergeCell ref="M60:N60"/>
    <mergeCell ref="B61:D61"/>
    <mergeCell ref="M61:N61"/>
    <mergeCell ref="B29:N29"/>
    <mergeCell ref="B30:N30"/>
    <mergeCell ref="B31:N31"/>
    <mergeCell ref="B32:N32"/>
    <mergeCell ref="B39:N39"/>
    <mergeCell ref="B52:N52"/>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43</v>
      </c>
      <c r="H3" s="626"/>
      <c r="I3" s="626"/>
      <c r="J3" s="626"/>
      <c r="K3" s="626"/>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8" t="str">
        <f>VLOOKUP($Q$3,BD_Clientes,2,FALSE)</f>
        <v>INVERSIONES INMOBILIARIAS DE PUERTO MADERO S.A. (IMAGINA)</v>
      </c>
      <c r="E5" s="638"/>
      <c r="F5" s="638"/>
      <c r="G5" s="638"/>
      <c r="H5" s="638"/>
      <c r="I5" s="638"/>
      <c r="J5" s="515" t="s">
        <v>6443</v>
      </c>
      <c r="L5" s="639" t="str">
        <f>VLOOKUP($Q$3,BD_Clientes,9,FALSE)</f>
        <v xml:space="preserve">ALTO METRO PARK ETAPA 1 </v>
      </c>
      <c r="M5" s="639"/>
      <c r="N5" s="639"/>
      <c r="P5" s="626">
        <v>222</v>
      </c>
      <c r="Q5" s="626"/>
      <c r="R5" s="626"/>
      <c r="S5" s="626"/>
      <c r="T5" s="626"/>
    </row>
    <row r="6" spans="2:20" ht="28.2" customHeight="1" x14ac:dyDescent="0.3">
      <c r="B6" s="485" t="s">
        <v>6444</v>
      </c>
      <c r="C6" s="485"/>
      <c r="D6" s="638">
        <f>VLOOKUP($Q$3,BD_Clientes,3,FALSE)</f>
        <v>20538391001</v>
      </c>
      <c r="E6" s="638"/>
      <c r="F6" s="638"/>
      <c r="G6" s="638"/>
      <c r="H6" s="638"/>
      <c r="I6" s="638"/>
      <c r="K6" s="256"/>
      <c r="L6" s="338"/>
      <c r="M6" s="338"/>
      <c r="N6" s="338"/>
      <c r="P6" s="629">
        <v>222</v>
      </c>
      <c r="Q6" s="629"/>
      <c r="R6" s="629"/>
      <c r="S6" s="629"/>
      <c r="T6" s="629"/>
    </row>
    <row r="7" spans="2:20" ht="30.75" customHeight="1" x14ac:dyDescent="0.3">
      <c r="B7" s="485" t="s">
        <v>2499</v>
      </c>
      <c r="C7" s="485"/>
      <c r="D7" s="638" t="str">
        <f>VLOOKUP($Q$3,BD_Clientes,5,FALSE)</f>
        <v>Ing. Luis Montesinos</v>
      </c>
      <c r="E7" s="638"/>
      <c r="F7" s="638"/>
      <c r="G7" s="638"/>
      <c r="H7" s="638"/>
      <c r="I7" s="638"/>
      <c r="J7" s="515" t="s">
        <v>6445</v>
      </c>
      <c r="L7" s="639" t="str">
        <f>VLOOKUP($Q$3,BD_Clientes,10,FALSE)</f>
        <v>Av. Óscar R. Benavides 262-264 - Callao</v>
      </c>
      <c r="M7" s="639"/>
      <c r="N7" s="639"/>
      <c r="P7" s="627">
        <v>222</v>
      </c>
      <c r="Q7" s="627"/>
      <c r="R7" s="627"/>
      <c r="S7" s="627"/>
      <c r="T7" s="627"/>
    </row>
    <row r="8" spans="2:20" ht="24.75" customHeight="1" x14ac:dyDescent="0.3">
      <c r="B8" s="485" t="s">
        <v>5892</v>
      </c>
      <c r="C8" s="485"/>
      <c r="D8" s="485"/>
      <c r="E8" s="638" t="str">
        <f>VLOOKUP($Q$3,BD_Clientes,7,FALSE)</f>
        <v>-</v>
      </c>
      <c r="F8" s="638"/>
      <c r="G8" s="638"/>
      <c r="H8" s="638"/>
      <c r="I8" s="638"/>
      <c r="J8" s="519" t="s">
        <v>5895</v>
      </c>
      <c r="K8" s="519"/>
      <c r="L8" s="298" t="s">
        <v>3253</v>
      </c>
      <c r="P8" s="337"/>
      <c r="Q8" s="337"/>
    </row>
    <row r="9" spans="2:20" ht="30" customHeight="1" x14ac:dyDescent="0.3">
      <c r="B9" s="485" t="s">
        <v>2506</v>
      </c>
      <c r="C9" s="485"/>
      <c r="D9" s="638" t="str">
        <f>VLOOKUP($Q$3,BD_Clientes,8,FALSE)</f>
        <v>Luis.Montesinos@imagina.pe</v>
      </c>
      <c r="E9" s="638"/>
      <c r="F9" s="638"/>
      <c r="G9" s="638"/>
      <c r="H9" s="638"/>
      <c r="I9" s="638"/>
      <c r="J9" s="520" t="s">
        <v>5915</v>
      </c>
      <c r="K9" s="520"/>
      <c r="L9" s="521">
        <v>982429895</v>
      </c>
      <c r="M9" s="256"/>
      <c r="N9" s="256"/>
    </row>
    <row r="10" spans="2:20" ht="22.5" customHeight="1" x14ac:dyDescent="0.3">
      <c r="B10" s="520" t="s">
        <v>2504</v>
      </c>
      <c r="C10" s="520"/>
      <c r="D10" s="522"/>
      <c r="E10" s="640">
        <v>46031</v>
      </c>
      <c r="F10" s="640"/>
      <c r="G10" s="640"/>
      <c r="H10" s="640"/>
      <c r="I10" s="640"/>
      <c r="J10" s="520" t="s">
        <v>2507</v>
      </c>
      <c r="K10" s="520"/>
      <c r="L10" s="641">
        <v>46031</v>
      </c>
      <c r="M10" s="641"/>
      <c r="N10" s="641"/>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2" t="s">
        <v>5897</v>
      </c>
      <c r="C13" s="642"/>
      <c r="D13" s="642"/>
      <c r="E13" s="642"/>
      <c r="F13" s="642"/>
      <c r="G13" s="642"/>
      <c r="H13" s="642"/>
      <c r="I13" s="642"/>
      <c r="J13" s="642"/>
      <c r="K13" s="642"/>
      <c r="L13" s="642"/>
      <c r="M13" s="642"/>
      <c r="N13" s="642"/>
    </row>
    <row r="14" spans="2:20" ht="14.25" customHeight="1" x14ac:dyDescent="0.3">
      <c r="B14" s="642"/>
      <c r="C14" s="642"/>
      <c r="D14" s="642"/>
      <c r="E14" s="642"/>
      <c r="F14" s="642"/>
      <c r="G14" s="642"/>
      <c r="H14" s="642"/>
      <c r="I14" s="642"/>
      <c r="J14" s="642"/>
      <c r="K14" s="642"/>
      <c r="L14" s="642"/>
      <c r="M14" s="642"/>
      <c r="N14" s="642"/>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15" s="269" customFormat="1" ht="26.1" customHeight="1" x14ac:dyDescent="0.3">
      <c r="B17" s="300"/>
      <c r="C17" s="637" t="s">
        <v>6537</v>
      </c>
      <c r="D17" s="637"/>
      <c r="E17" s="637"/>
      <c r="F17" s="637"/>
      <c r="G17" s="637"/>
      <c r="H17" s="637"/>
      <c r="I17" s="637"/>
      <c r="J17" s="486"/>
      <c r="K17" s="486"/>
      <c r="L17" s="300"/>
      <c r="M17" s="300"/>
      <c r="N17" s="300"/>
      <c r="O17" s="321"/>
    </row>
    <row r="18" spans="2:15" s="269" customFormat="1" ht="26.1" customHeight="1" x14ac:dyDescent="0.3">
      <c r="B18" s="477" t="s">
        <v>2204</v>
      </c>
      <c r="C18" s="630" t="str">
        <f>VLOOKUP(B18,ENS.!$B$5:$H$167,2,FALSE)</f>
        <v>Compresión de testigos cilíndricos de concreto</v>
      </c>
      <c r="D18" s="630"/>
      <c r="E18" s="630"/>
      <c r="F18" s="630"/>
      <c r="G18" s="630"/>
      <c r="H18" s="630"/>
      <c r="I18" s="630"/>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37" t="s">
        <v>6538</v>
      </c>
      <c r="D19" s="637"/>
      <c r="E19" s="637"/>
      <c r="F19" s="637"/>
      <c r="G19" s="637"/>
      <c r="H19" s="637"/>
      <c r="I19" s="637"/>
      <c r="J19" s="478"/>
      <c r="K19" s="478"/>
      <c r="L19" s="479"/>
      <c r="M19" s="478"/>
      <c r="N19" s="480"/>
      <c r="O19" s="321"/>
    </row>
    <row r="20" spans="2:15" s="269" customFormat="1" ht="26.1" customHeight="1" x14ac:dyDescent="0.3">
      <c r="B20" s="477" t="s">
        <v>2011</v>
      </c>
      <c r="C20" s="630" t="str">
        <f>VLOOKUP(B20,ENS.!$B$5:$H$167,2,FALSE)</f>
        <v xml:space="preserve">Próctor modificado </v>
      </c>
      <c r="D20" s="630"/>
      <c r="E20" s="630"/>
      <c r="F20" s="630"/>
      <c r="G20" s="630"/>
      <c r="H20" s="630"/>
      <c r="I20" s="630"/>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30" t="str">
        <f>VLOOKUP(B21,ENS.!$B$5:$H$167,2,FALSE)</f>
        <v>Gravedad específica de los sólidos del suelo.</v>
      </c>
      <c r="D21" s="630"/>
      <c r="E21" s="630"/>
      <c r="F21" s="630"/>
      <c r="G21" s="630"/>
      <c r="H21" s="630"/>
      <c r="I21" s="630"/>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30" t="str">
        <f>VLOOKUP(B22,ENS.!$B$5:$H$167,2,FALSE)</f>
        <v>Gravedad especifica y absorción de agregado grueso</v>
      </c>
      <c r="D22" s="630"/>
      <c r="E22" s="630"/>
      <c r="F22" s="630"/>
      <c r="G22" s="630"/>
      <c r="H22" s="630"/>
      <c r="I22" s="630"/>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30" t="str">
        <f>VLOOKUP(B23,ENS.!$B$5:$H$167,2,FALSE)</f>
        <v>Análisis granulométrico por tamizado en Suelo</v>
      </c>
      <c r="D23" s="630"/>
      <c r="E23" s="630"/>
      <c r="F23" s="630"/>
      <c r="G23" s="630"/>
      <c r="H23" s="630"/>
      <c r="I23" s="630"/>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37" t="s">
        <v>6539</v>
      </c>
      <c r="D24" s="637"/>
      <c r="E24" s="637"/>
      <c r="F24" s="637"/>
      <c r="G24" s="637"/>
      <c r="H24" s="637"/>
      <c r="I24" s="637"/>
      <c r="J24" s="478"/>
      <c r="K24" s="478"/>
      <c r="L24" s="479"/>
      <c r="M24" s="478"/>
      <c r="N24" s="480"/>
      <c r="O24" s="321"/>
    </row>
    <row r="25" spans="2:15" s="269" customFormat="1" ht="25.5" customHeight="1" x14ac:dyDescent="0.3">
      <c r="B25" s="477" t="s">
        <v>2020</v>
      </c>
      <c r="C25" s="630" t="str">
        <f>VLOOKUP(B25,ENS.!$B$5:$H$167,2,FALSE)</f>
        <v>Clasificación suelo SUCS - AASHTO</v>
      </c>
      <c r="D25" s="630"/>
      <c r="E25" s="630"/>
      <c r="F25" s="630"/>
      <c r="G25" s="630"/>
      <c r="H25" s="630"/>
      <c r="I25" s="630"/>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30" t="str">
        <f>VLOOKUP(B26,ENS.!$B$5:$H$167,2,FALSE)</f>
        <v xml:space="preserve">Límite líquido y Límite Plástico del Suelo </v>
      </c>
      <c r="D26" s="630"/>
      <c r="E26" s="630"/>
      <c r="F26" s="630"/>
      <c r="G26" s="630"/>
      <c r="H26" s="630"/>
      <c r="I26" s="630"/>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30" t="str">
        <f>VLOOKUP(B27,ENS.!$B$5:$H$167,2,FALSE)</f>
        <v>Análisis granulométrico por tamizado en Suelo</v>
      </c>
      <c r="D27" s="630"/>
      <c r="E27" s="630"/>
      <c r="F27" s="630"/>
      <c r="G27" s="630"/>
      <c r="H27" s="630"/>
      <c r="I27" s="630"/>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30" t="str">
        <f>VLOOKUP(B28,ENS.!$B$5:$H$167,2,FALSE)</f>
        <v>Contenido de humedad en suelos</v>
      </c>
      <c r="D28" s="630"/>
      <c r="E28" s="630"/>
      <c r="F28" s="630"/>
      <c r="G28" s="630"/>
      <c r="H28" s="630"/>
      <c r="I28" s="630"/>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37" t="s">
        <v>6540</v>
      </c>
      <c r="D29" s="637"/>
      <c r="E29" s="637"/>
      <c r="F29" s="637"/>
      <c r="G29" s="637"/>
      <c r="H29" s="637"/>
      <c r="I29" s="637"/>
      <c r="J29" s="478"/>
      <c r="K29" s="478"/>
      <c r="L29" s="479"/>
      <c r="M29" s="478"/>
      <c r="N29" s="480"/>
      <c r="O29" s="321"/>
    </row>
    <row r="30" spans="2:15" s="269" customFormat="1" ht="26.1" customHeight="1" x14ac:dyDescent="0.3">
      <c r="B30" s="477" t="s">
        <v>1962</v>
      </c>
      <c r="C30" s="630" t="str">
        <f>VLOOKUP(B30,ENS.!$B$5:$H$167,2,FALSE)</f>
        <v>Densidad del suelo IN-SITU, Cono de Arena 6"</v>
      </c>
      <c r="D30" s="630"/>
      <c r="E30" s="630"/>
      <c r="F30" s="630"/>
      <c r="G30" s="630"/>
      <c r="H30" s="630"/>
      <c r="I30" s="630"/>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30" t="str">
        <f>VLOOKUP(B31,ENS.!$B$5:$H$167,2,FALSE)</f>
        <v>Contenido de humedad en suelos</v>
      </c>
      <c r="D31" s="630"/>
      <c r="E31" s="630"/>
      <c r="F31" s="630"/>
      <c r="G31" s="630"/>
      <c r="H31" s="630"/>
      <c r="I31" s="630"/>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30" t="str">
        <f>VLOOKUP(B32,ENS.!$B$5:$H$167,2,FALSE)</f>
        <v>Movilización de personal y equipo (Densidad campo).</v>
      </c>
      <c r="D32" s="630"/>
      <c r="E32" s="630"/>
      <c r="F32" s="630"/>
      <c r="G32" s="630"/>
      <c r="H32" s="630"/>
      <c r="I32" s="630"/>
      <c r="J32" s="478" t="str">
        <f>VLOOKUP(B32,ENS.!$B$5:$H$167,3,FALSE)</f>
        <v>-</v>
      </c>
      <c r="K32" s="478" t="str">
        <f>VLOOKUP(B32,ENS.!$B$5:$H$167,4,FALSE)</f>
        <v>NO</v>
      </c>
      <c r="L32" s="479">
        <v>60</v>
      </c>
      <c r="M32" s="478">
        <v>1</v>
      </c>
      <c r="N32" s="480">
        <f>+L32*M32</f>
        <v>60</v>
      </c>
      <c r="O32" s="321"/>
    </row>
    <row r="33" spans="2:25" s="269" customFormat="1" ht="26.1" customHeight="1" x14ac:dyDescent="0.3">
      <c r="B33" s="477"/>
      <c r="C33" s="637" t="s">
        <v>6541</v>
      </c>
      <c r="D33" s="637"/>
      <c r="E33" s="637"/>
      <c r="F33" s="637"/>
      <c r="G33" s="637"/>
      <c r="H33" s="637"/>
      <c r="I33" s="637"/>
      <c r="J33" s="478"/>
      <c r="K33" s="478"/>
      <c r="L33" s="479"/>
      <c r="M33" s="478"/>
      <c r="N33" s="480"/>
      <c r="O33" s="321"/>
    </row>
    <row r="34" spans="2:25" s="269" customFormat="1" ht="26.1" customHeight="1" x14ac:dyDescent="0.3">
      <c r="B34" s="477" t="s">
        <v>1967</v>
      </c>
      <c r="C34" s="630" t="str">
        <f>VLOOKUP(B34,ENS.!$B$5:$H$167,2,FALSE)</f>
        <v>Densidad del suelo IN-SITU, Cono de Arena 12".</v>
      </c>
      <c r="D34" s="630"/>
      <c r="E34" s="630"/>
      <c r="F34" s="630"/>
      <c r="G34" s="630"/>
      <c r="H34" s="630"/>
      <c r="I34" s="630"/>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30" t="str">
        <f>VLOOKUP(B35,ENS.!$B$5:$H$167,2,FALSE)</f>
        <v>Contenido de humedad en suelos</v>
      </c>
      <c r="D35" s="630"/>
      <c r="E35" s="630"/>
      <c r="F35" s="630"/>
      <c r="G35" s="630"/>
      <c r="H35" s="630"/>
      <c r="I35" s="630"/>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30" t="str">
        <f>VLOOKUP(B36,ENS.!$B$5:$H$167,2,FALSE)</f>
        <v>Movilización de personal y equipo (Densidad campo).</v>
      </c>
      <c r="D36" s="630"/>
      <c r="E36" s="630"/>
      <c r="F36" s="630"/>
      <c r="G36" s="630"/>
      <c r="H36" s="630"/>
      <c r="I36" s="630"/>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593" t="s">
        <v>6202</v>
      </c>
      <c r="M37" s="594"/>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8" t="s">
        <v>2516</v>
      </c>
      <c r="M38" s="599"/>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600" t="s">
        <v>5911</v>
      </c>
      <c r="M39" s="601"/>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602" t="s">
        <v>4014</v>
      </c>
      <c r="C41" s="602"/>
      <c r="D41" s="602"/>
      <c r="E41" s="602"/>
      <c r="F41" s="602"/>
      <c r="G41" s="602"/>
      <c r="H41" s="602"/>
      <c r="I41" s="602"/>
      <c r="J41" s="602"/>
      <c r="K41" s="602"/>
      <c r="L41" s="602"/>
      <c r="M41" s="602"/>
      <c r="N41" s="602"/>
      <c r="O41" s="336"/>
      <c r="P41" s="406"/>
      <c r="Q41" s="327"/>
      <c r="R41" s="327"/>
      <c r="S41" s="327"/>
      <c r="T41" s="327"/>
      <c r="U41" s="327"/>
      <c r="V41" s="327"/>
      <c r="W41" s="327"/>
      <c r="X41" s="327"/>
      <c r="Y41" s="327"/>
    </row>
    <row r="42" spans="2:25" s="322" customFormat="1" ht="120.75" customHeight="1" x14ac:dyDescent="0.3">
      <c r="B42" s="590" t="s">
        <v>5898</v>
      </c>
      <c r="C42" s="590"/>
      <c r="D42" s="590"/>
      <c r="O42" s="336"/>
      <c r="P42" s="406"/>
      <c r="Q42" s="327"/>
      <c r="R42" s="327"/>
      <c r="S42" s="327"/>
      <c r="T42" s="327"/>
      <c r="U42" s="327"/>
      <c r="V42" s="327"/>
      <c r="W42" s="327"/>
      <c r="X42" s="327"/>
      <c r="Y42" s="327"/>
    </row>
    <row r="43" spans="2:25" s="322" customFormat="1" ht="125.25" customHeight="1" x14ac:dyDescent="0.3">
      <c r="B43" s="590" t="s">
        <v>6543</v>
      </c>
      <c r="C43" s="590"/>
      <c r="D43" s="590"/>
      <c r="E43" s="590"/>
      <c r="F43" s="590"/>
      <c r="G43" s="590"/>
      <c r="H43" s="590"/>
      <c r="I43" s="590"/>
      <c r="J43" s="590"/>
      <c r="K43" s="590"/>
      <c r="L43" s="590"/>
      <c r="M43" s="590"/>
      <c r="N43" s="590"/>
      <c r="O43" s="336"/>
      <c r="P43" s="406"/>
      <c r="Q43" s="327"/>
      <c r="R43" s="327"/>
      <c r="S43" s="327"/>
      <c r="T43" s="327"/>
      <c r="U43" s="327"/>
      <c r="V43" s="327"/>
      <c r="W43" s="327"/>
      <c r="X43" s="327"/>
      <c r="Y43" s="327"/>
    </row>
    <row r="44" spans="2:25" s="322" customFormat="1" ht="74.25" customHeight="1" x14ac:dyDescent="0.3">
      <c r="B44" s="584" t="s">
        <v>6487</v>
      </c>
      <c r="C44" s="584"/>
      <c r="D44" s="584"/>
      <c r="E44" s="584"/>
      <c r="F44" s="584"/>
      <c r="G44" s="584"/>
      <c r="H44" s="584"/>
      <c r="I44" s="584"/>
      <c r="J44" s="584"/>
      <c r="K44" s="584"/>
      <c r="L44" s="584"/>
      <c r="M44" s="584"/>
      <c r="N44" s="584"/>
      <c r="O44" s="336"/>
      <c r="P44" s="406"/>
      <c r="Q44" s="327"/>
      <c r="R44" s="327"/>
      <c r="S44" s="327"/>
      <c r="T44" s="327"/>
      <c r="U44" s="327"/>
      <c r="V44" s="327"/>
      <c r="W44" s="327"/>
      <c r="X44" s="327"/>
      <c r="Y44" s="327"/>
    </row>
    <row r="45" spans="2:25" ht="68.25" customHeight="1" x14ac:dyDescent="0.3">
      <c r="B45" s="590" t="s">
        <v>4017</v>
      </c>
      <c r="C45" s="590"/>
      <c r="D45" s="590"/>
      <c r="E45" s="590"/>
      <c r="F45" s="590"/>
      <c r="G45" s="590"/>
      <c r="H45" s="590"/>
      <c r="I45" s="590"/>
      <c r="J45" s="590"/>
      <c r="K45" s="590"/>
      <c r="L45" s="590"/>
      <c r="M45" s="590"/>
      <c r="N45" s="590"/>
      <c r="O45" s="270"/>
      <c r="P45" s="404"/>
      <c r="Q45" s="292"/>
      <c r="R45" s="292"/>
      <c r="S45" s="292"/>
      <c r="T45" s="292"/>
      <c r="U45" s="292"/>
      <c r="V45" s="292"/>
      <c r="W45" s="292"/>
      <c r="X45" s="292"/>
      <c r="Y45" s="292"/>
    </row>
    <row r="46" spans="2:25" ht="79.5" customHeight="1" x14ac:dyDescent="0.3">
      <c r="B46" s="590" t="s">
        <v>5900</v>
      </c>
      <c r="C46" s="590"/>
      <c r="D46" s="590"/>
      <c r="E46" s="590"/>
      <c r="F46" s="590"/>
      <c r="G46" s="590"/>
      <c r="H46" s="590"/>
      <c r="I46" s="590"/>
      <c r="J46" s="590"/>
      <c r="K46" s="590"/>
      <c r="L46" s="590"/>
      <c r="M46" s="590"/>
      <c r="N46" s="590"/>
      <c r="O46" s="270"/>
      <c r="P46" s="404"/>
      <c r="Q46" s="292"/>
      <c r="R46" s="292"/>
      <c r="S46" s="292"/>
      <c r="T46" s="292"/>
      <c r="U46" s="292"/>
      <c r="V46" s="292"/>
      <c r="W46" s="292"/>
      <c r="X46" s="292"/>
      <c r="Y46" s="292"/>
    </row>
    <row r="47" spans="2:25" s="322" customFormat="1" ht="85.5" customHeight="1" x14ac:dyDescent="0.3">
      <c r="B47" s="589" t="s">
        <v>5901</v>
      </c>
      <c r="C47" s="589"/>
      <c r="D47" s="589"/>
      <c r="E47" s="589"/>
      <c r="F47" s="589"/>
      <c r="G47" s="589"/>
      <c r="H47" s="589"/>
      <c r="I47" s="589"/>
      <c r="J47" s="589"/>
      <c r="K47" s="589"/>
      <c r="L47" s="589"/>
      <c r="M47" s="589"/>
      <c r="N47" s="589"/>
      <c r="O47" s="323"/>
      <c r="P47" s="324"/>
    </row>
    <row r="48" spans="2:25" s="322" customFormat="1" ht="147.6" customHeight="1" x14ac:dyDescent="0.3">
      <c r="B48" s="590" t="s">
        <v>5907</v>
      </c>
      <c r="C48" s="590"/>
      <c r="D48" s="590"/>
      <c r="E48" s="590"/>
      <c r="F48" s="590"/>
      <c r="G48" s="590"/>
      <c r="H48" s="590"/>
      <c r="I48" s="590"/>
      <c r="J48" s="590"/>
      <c r="K48" s="590"/>
      <c r="L48" s="590"/>
      <c r="M48" s="590"/>
      <c r="N48" s="590"/>
      <c r="O48" s="323"/>
      <c r="P48" s="324"/>
      <c r="Q48" s="325"/>
      <c r="R48" s="326"/>
    </row>
    <row r="49" spans="2:25" s="322" customFormat="1" ht="45.6" customHeight="1" x14ac:dyDescent="0.3">
      <c r="B49" s="590" t="s">
        <v>4015</v>
      </c>
      <c r="C49" s="590"/>
      <c r="D49" s="590"/>
      <c r="E49" s="590"/>
      <c r="F49" s="590"/>
      <c r="G49" s="590"/>
      <c r="H49" s="590"/>
      <c r="I49" s="590"/>
      <c r="J49" s="590"/>
      <c r="K49" s="590"/>
      <c r="L49" s="590"/>
      <c r="M49" s="590"/>
      <c r="N49" s="590"/>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591" t="s">
        <v>2477</v>
      </c>
      <c r="C56" s="591"/>
      <c r="D56" s="591"/>
      <c r="E56" s="591"/>
      <c r="F56" s="591"/>
      <c r="G56" s="591"/>
      <c r="H56" s="591"/>
      <c r="I56" s="591"/>
      <c r="J56" s="591"/>
      <c r="K56" s="591"/>
      <c r="L56" s="591"/>
      <c r="M56" s="591"/>
      <c r="N56" s="591"/>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0" t="s">
        <v>5906</v>
      </c>
      <c r="C69" s="590"/>
      <c r="D69" s="590"/>
      <c r="E69" s="590"/>
      <c r="F69" s="590"/>
      <c r="G69" s="590"/>
      <c r="H69" s="590"/>
      <c r="I69" s="590"/>
      <c r="J69" s="590"/>
      <c r="K69" s="590"/>
      <c r="L69" s="590"/>
      <c r="M69" s="590"/>
      <c r="N69" s="590"/>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4"/>
      <c r="C77" s="584"/>
      <c r="D77" s="584"/>
      <c r="E77" s="584"/>
      <c r="M77" s="585"/>
      <c r="N77" s="585"/>
      <c r="Q77" s="332"/>
      <c r="R77" s="332"/>
    </row>
    <row r="78" spans="2:18" ht="51" customHeight="1" x14ac:dyDescent="0.3">
      <c r="B78" s="586" t="s">
        <v>5903</v>
      </c>
      <c r="C78" s="586"/>
      <c r="D78" s="586"/>
      <c r="E78" s="330"/>
      <c r="F78" s="330"/>
      <c r="G78" s="431"/>
      <c r="H78" s="431"/>
      <c r="I78" s="409"/>
      <c r="J78" s="409"/>
      <c r="K78" s="409"/>
      <c r="L78" s="409"/>
      <c r="M78" s="587" t="s">
        <v>2485</v>
      </c>
      <c r="N78" s="587"/>
    </row>
  </sheetData>
  <mergeCells count="53">
    <mergeCell ref="G3:K3"/>
    <mergeCell ref="D5:I5"/>
    <mergeCell ref="L5:N5"/>
    <mergeCell ref="P5:T5"/>
    <mergeCell ref="D6:I6"/>
    <mergeCell ref="P6:T6"/>
    <mergeCell ref="C22:I22"/>
    <mergeCell ref="D7:I7"/>
    <mergeCell ref="L7:N7"/>
    <mergeCell ref="P7:T7"/>
    <mergeCell ref="E8:I8"/>
    <mergeCell ref="D9:I9"/>
    <mergeCell ref="E10:I10"/>
    <mergeCell ref="L10:N10"/>
    <mergeCell ref="B13:N14"/>
    <mergeCell ref="C16:I16"/>
    <mergeCell ref="C19:I19"/>
    <mergeCell ref="C20:I20"/>
    <mergeCell ref="C21:I21"/>
    <mergeCell ref="C23:I23"/>
    <mergeCell ref="C29:I29"/>
    <mergeCell ref="C30:I30"/>
    <mergeCell ref="C31:I31"/>
    <mergeCell ref="C36:I36"/>
    <mergeCell ref="C26:I26"/>
    <mergeCell ref="C27:I27"/>
    <mergeCell ref="C28:I28"/>
    <mergeCell ref="C32:I32"/>
    <mergeCell ref="C33:I33"/>
    <mergeCell ref="C34:I34"/>
    <mergeCell ref="C35:I35"/>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L37:M37"/>
    <mergeCell ref="B69:N69"/>
    <mergeCell ref="B77:E77"/>
    <mergeCell ref="M77:N77"/>
    <mergeCell ref="B44:N44"/>
    <mergeCell ref="B42:D42"/>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43</v>
      </c>
      <c r="H3" s="626"/>
      <c r="I3" s="626"/>
      <c r="J3" s="626"/>
      <c r="K3" s="626"/>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607" t="str">
        <f>VLOOKUP($Q$3,BD_Clientes,2,FALSE)</f>
        <v>INVERSIONES INMOBILIARIAS DE LAS CONDES S.A. (IMAGINA)</v>
      </c>
      <c r="E5" s="607"/>
      <c r="F5" s="607"/>
      <c r="G5" s="607"/>
      <c r="H5" s="607"/>
      <c r="I5" s="607"/>
      <c r="J5" s="344" t="s">
        <v>5893</v>
      </c>
      <c r="L5" s="628" t="str">
        <f>VLOOKUP($Q$3,BD_Clientes,9,FALSE)</f>
        <v>OCEAN BREATH</v>
      </c>
      <c r="M5" s="628"/>
      <c r="N5" s="628"/>
      <c r="P5" s="626">
        <v>222</v>
      </c>
      <c r="Q5" s="626"/>
      <c r="R5" s="626"/>
      <c r="S5" s="626"/>
      <c r="T5" s="626"/>
    </row>
    <row r="6" spans="2:20" ht="27.75" customHeight="1" x14ac:dyDescent="0.3">
      <c r="B6" s="331" t="s">
        <v>5891</v>
      </c>
      <c r="C6" s="331"/>
      <c r="D6" s="607">
        <f>VLOOKUP($Q$3,BD_Clientes,3,FALSE)</f>
        <v>20537745631</v>
      </c>
      <c r="E6" s="607"/>
      <c r="F6" s="607"/>
      <c r="G6" s="607"/>
      <c r="H6" s="607"/>
      <c r="I6" s="607"/>
      <c r="J6" s="322"/>
      <c r="K6" s="343"/>
      <c r="L6" s="476"/>
      <c r="M6" s="476"/>
      <c r="N6" s="476"/>
      <c r="P6" s="629">
        <v>222</v>
      </c>
      <c r="Q6" s="629"/>
      <c r="R6" s="629"/>
      <c r="S6" s="629"/>
      <c r="T6" s="629"/>
    </row>
    <row r="7" spans="2:20" ht="29.25" customHeight="1" x14ac:dyDescent="0.3">
      <c r="B7" s="331" t="s">
        <v>2499</v>
      </c>
      <c r="C7" s="331"/>
      <c r="D7" s="607" t="str">
        <f>VLOOKUP($Q$3,BD_Clientes,5,FALSE)</f>
        <v>Ing. Vania Carhuamaca</v>
      </c>
      <c r="E7" s="607"/>
      <c r="F7" s="607"/>
      <c r="G7" s="607"/>
      <c r="H7" s="607"/>
      <c r="I7" s="607"/>
      <c r="J7" s="344" t="s">
        <v>5894</v>
      </c>
      <c r="L7" s="628" t="str">
        <f>VLOOKUP($Q$3,BD_Clientes,10,FALSE)</f>
        <v>Av. Costanera 2880 - San Miguel</v>
      </c>
      <c r="M7" s="628"/>
      <c r="N7" s="628"/>
      <c r="P7" s="627">
        <v>222</v>
      </c>
      <c r="Q7" s="627"/>
      <c r="R7" s="627"/>
      <c r="S7" s="627"/>
      <c r="T7" s="627"/>
    </row>
    <row r="8" spans="2:20" ht="33" customHeight="1" x14ac:dyDescent="0.3">
      <c r="B8" s="331" t="s">
        <v>5892</v>
      </c>
      <c r="C8" s="331"/>
      <c r="D8" s="331"/>
      <c r="E8" s="607">
        <f>VLOOKUP($Q$3,BD_Clientes,7,FALSE)</f>
        <v>933372811</v>
      </c>
      <c r="F8" s="607"/>
      <c r="G8" s="607"/>
      <c r="H8" s="607"/>
      <c r="I8" s="607"/>
      <c r="J8" s="347" t="s">
        <v>5895</v>
      </c>
      <c r="K8" s="347"/>
      <c r="L8" s="432" t="s">
        <v>3253</v>
      </c>
      <c r="M8" s="322"/>
      <c r="N8" s="322"/>
      <c r="P8" s="337"/>
      <c r="Q8" s="337"/>
    </row>
    <row r="9" spans="2:20" ht="31.5" customHeight="1" x14ac:dyDescent="0.3">
      <c r="B9" s="331" t="s">
        <v>2506</v>
      </c>
      <c r="C9" s="331"/>
      <c r="D9" s="607" t="str">
        <f>VLOOKUP($Q$3,BD_Clientes,8,FALSE)</f>
        <v>Vania.Carhuamaca@imagina.pe</v>
      </c>
      <c r="E9" s="607"/>
      <c r="F9" s="607"/>
      <c r="G9" s="607"/>
      <c r="H9" s="607"/>
      <c r="I9" s="607"/>
      <c r="J9" s="346" t="s">
        <v>5915</v>
      </c>
      <c r="K9" s="346"/>
      <c r="L9" s="428">
        <v>982429895</v>
      </c>
      <c r="M9" s="343"/>
      <c r="N9" s="343"/>
    </row>
    <row r="10" spans="2:20" ht="32.2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2" t="str">
        <f>VLOOKUP(B18,ENS.!$B$5:$H$167,2,FALSE)</f>
        <v>Compresión de testigos cilíndricos de concreto</v>
      </c>
      <c r="D18" s="592"/>
      <c r="E18" s="592"/>
      <c r="F18" s="592"/>
      <c r="G18" s="592"/>
      <c r="H18" s="592"/>
      <c r="I18" s="592"/>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2" t="s">
        <v>6311</v>
      </c>
      <c r="D19" s="592"/>
      <c r="E19" s="592"/>
      <c r="F19" s="592"/>
      <c r="G19" s="592"/>
      <c r="H19" s="592"/>
      <c r="I19" s="592"/>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593" t="s">
        <v>3105</v>
      </c>
      <c r="M20" s="594"/>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287.25" customHeight="1" x14ac:dyDescent="0.3">
      <c r="B25" s="590" t="s">
        <v>6312</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1.2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4" t="s">
        <v>6197</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9">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L18:L19"/>
    <mergeCell ref="M18:M19"/>
    <mergeCell ref="N18:N19"/>
    <mergeCell ref="C19:I19"/>
    <mergeCell ref="B32:N32"/>
    <mergeCell ref="L20:M20"/>
    <mergeCell ref="L21:M21"/>
    <mergeCell ref="L22:M22"/>
    <mergeCell ref="B24:N24"/>
    <mergeCell ref="B25:N25"/>
    <mergeCell ref="B26:D26"/>
    <mergeCell ref="B27:N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42</v>
      </c>
      <c r="H3" s="626"/>
      <c r="I3" s="626"/>
      <c r="J3" s="626"/>
      <c r="K3" s="626"/>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607" t="str">
        <f>VLOOKUP($Q$3,BD_Clientes,2,FALSE)</f>
        <v>CHINA ROAD AND BRIDGE CORPORATION SUCURSAL PERU</v>
      </c>
      <c r="E5" s="607"/>
      <c r="F5" s="607"/>
      <c r="G5" s="607"/>
      <c r="H5" s="607"/>
      <c r="I5" s="607"/>
      <c r="J5" s="344" t="s">
        <v>5893</v>
      </c>
      <c r="L5" s="628" t="str">
        <f>VLOOKUP($Q$3,BD_Clientes,9,FALSE)</f>
        <v>Hospital Papa Francisco</v>
      </c>
      <c r="M5" s="628"/>
      <c r="N5" s="628"/>
      <c r="P5" s="626">
        <v>222</v>
      </c>
      <c r="Q5" s="626"/>
      <c r="R5" s="626"/>
      <c r="S5" s="626"/>
      <c r="T5" s="626"/>
    </row>
    <row r="6" spans="2:20" ht="27.75" customHeight="1" x14ac:dyDescent="0.3">
      <c r="B6" s="331" t="s">
        <v>5891</v>
      </c>
      <c r="C6" s="331"/>
      <c r="D6" s="607">
        <f>VLOOKUP($Q$3,BD_Clientes,3,FALSE)</f>
        <v>20605171941</v>
      </c>
      <c r="E6" s="607"/>
      <c r="F6" s="607"/>
      <c r="G6" s="607"/>
      <c r="H6" s="607"/>
      <c r="I6" s="607"/>
      <c r="J6" s="322"/>
      <c r="K6" s="343"/>
      <c r="L6" s="476"/>
      <c r="M6" s="476"/>
      <c r="N6" s="476"/>
      <c r="P6" s="629">
        <v>222</v>
      </c>
      <c r="Q6" s="629"/>
      <c r="R6" s="629"/>
      <c r="S6" s="629"/>
      <c r="T6" s="629"/>
    </row>
    <row r="7" spans="2:20" ht="29.25" customHeight="1" x14ac:dyDescent="0.3">
      <c r="B7" s="331" t="s">
        <v>2499</v>
      </c>
      <c r="C7" s="331"/>
      <c r="D7" s="607" t="str">
        <f>VLOOKUP($Q$3,BD_Clientes,5,FALSE)</f>
        <v>Ing. Fernando Revatta Paz</v>
      </c>
      <c r="E7" s="607"/>
      <c r="F7" s="607"/>
      <c r="G7" s="607"/>
      <c r="H7" s="607"/>
      <c r="I7" s="607"/>
      <c r="J7" s="344" t="s">
        <v>5894</v>
      </c>
      <c r="L7" s="628" t="str">
        <f>VLOOKUP($Q$3,BD_Clientes,10,FALSE)</f>
        <v>Manchay - Pachacamac - Lima</v>
      </c>
      <c r="M7" s="628"/>
      <c r="N7" s="628"/>
      <c r="P7" s="627">
        <v>222</v>
      </c>
      <c r="Q7" s="627"/>
      <c r="R7" s="627"/>
      <c r="S7" s="627"/>
      <c r="T7" s="627"/>
    </row>
    <row r="8" spans="2:20" ht="33" customHeight="1" x14ac:dyDescent="0.3">
      <c r="B8" s="331" t="s">
        <v>5892</v>
      </c>
      <c r="C8" s="331"/>
      <c r="D8" s="331"/>
      <c r="E8" s="607">
        <f>VLOOKUP($Q$3,BD_Clientes,7,FALSE)</f>
        <v>994198563</v>
      </c>
      <c r="F8" s="607"/>
      <c r="G8" s="607"/>
      <c r="H8" s="607"/>
      <c r="I8" s="607"/>
      <c r="J8" s="347" t="s">
        <v>5895</v>
      </c>
      <c r="K8" s="347"/>
      <c r="L8" s="432" t="s">
        <v>3253</v>
      </c>
      <c r="M8" s="322"/>
      <c r="N8" s="322"/>
      <c r="P8" s="337"/>
      <c r="Q8" s="337"/>
    </row>
    <row r="9" spans="2:20" ht="31.5" customHeight="1" x14ac:dyDescent="0.3">
      <c r="B9" s="331" t="s">
        <v>2506</v>
      </c>
      <c r="C9" s="331"/>
      <c r="D9" s="607" t="str">
        <f>VLOOKUP($Q$3,BD_Clientes,8,FALSE)</f>
        <v>frevatta@crbcperu.com</v>
      </c>
      <c r="E9" s="607"/>
      <c r="F9" s="607"/>
      <c r="G9" s="607"/>
      <c r="H9" s="607"/>
      <c r="I9" s="607"/>
      <c r="J9" s="346" t="s">
        <v>5915</v>
      </c>
      <c r="K9" s="346"/>
      <c r="L9" s="428">
        <v>982429895</v>
      </c>
      <c r="M9" s="343"/>
      <c r="N9" s="343"/>
    </row>
    <row r="10" spans="2:20" ht="32.2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2"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2"/>
      <c r="E18" s="592"/>
      <c r="F18" s="592"/>
      <c r="G18" s="592"/>
      <c r="H18" s="592"/>
      <c r="I18" s="592"/>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2" t="s">
        <v>6311</v>
      </c>
      <c r="D19" s="592"/>
      <c r="E19" s="592"/>
      <c r="F19" s="592"/>
      <c r="G19" s="592"/>
      <c r="H19" s="592"/>
      <c r="I19" s="592"/>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593" t="s">
        <v>3105</v>
      </c>
      <c r="M20" s="594"/>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287.25" customHeight="1" x14ac:dyDescent="0.3">
      <c r="B25" s="590" t="s">
        <v>6312</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1.2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4" t="s">
        <v>6197</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D26"/>
    <mergeCell ref="B27:N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603"/>
      <c r="C3" s="603"/>
      <c r="D3" s="603"/>
      <c r="E3" s="603"/>
      <c r="F3" s="603"/>
      <c r="G3" s="626">
        <v>30</v>
      </c>
      <c r="H3" s="626"/>
      <c r="I3" s="626"/>
      <c r="J3" s="626"/>
      <c r="K3" s="626"/>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607" t="str">
        <f>VLOOKUP($Q$3,BD_Clientes,2,FALSE)</f>
        <v>CONDUTO PERU S.A.C.</v>
      </c>
      <c r="E5" s="607"/>
      <c r="F5" s="607"/>
      <c r="G5" s="607"/>
      <c r="H5" s="607"/>
      <c r="I5" s="607"/>
      <c r="J5" s="344" t="s">
        <v>5893</v>
      </c>
      <c r="L5" s="628" t="str">
        <f>VLOOKUP($Q$3,BD_Clientes,9,FALSE)</f>
        <v>-</v>
      </c>
      <c r="M5" s="628"/>
      <c r="N5" s="628"/>
      <c r="P5" s="626">
        <v>222</v>
      </c>
      <c r="Q5" s="626"/>
      <c r="R5" s="626"/>
      <c r="S5" s="626"/>
      <c r="T5" s="626"/>
    </row>
    <row r="6" spans="2:20" ht="23.25" customHeight="1" x14ac:dyDescent="0.3">
      <c r="B6" s="331" t="s">
        <v>5891</v>
      </c>
      <c r="C6" s="331"/>
      <c r="D6" s="607">
        <f>VLOOKUP($Q$3,BD_Clientes,3,FALSE)</f>
        <v>20512864644</v>
      </c>
      <c r="E6" s="607"/>
      <c r="F6" s="607"/>
      <c r="G6" s="607"/>
      <c r="H6" s="607"/>
      <c r="I6" s="607"/>
      <c r="J6" s="322"/>
      <c r="K6" s="343"/>
      <c r="L6" s="476"/>
      <c r="M6" s="476"/>
      <c r="N6" s="476"/>
      <c r="P6" s="629">
        <v>222</v>
      </c>
      <c r="Q6" s="629"/>
      <c r="R6" s="629"/>
      <c r="S6" s="629"/>
      <c r="T6" s="629"/>
    </row>
    <row r="7" spans="2:20" ht="28.5" customHeight="1" x14ac:dyDescent="0.3">
      <c r="B7" s="331" t="s">
        <v>2499</v>
      </c>
      <c r="C7" s="331"/>
      <c r="D7" s="607" t="str">
        <f>VLOOKUP($Q$3,BD_Clientes,5,FALSE)</f>
        <v>Ing. Kateryne Santana</v>
      </c>
      <c r="E7" s="607"/>
      <c r="F7" s="607"/>
      <c r="G7" s="607"/>
      <c r="H7" s="607"/>
      <c r="I7" s="607"/>
      <c r="J7" s="344" t="s">
        <v>5894</v>
      </c>
      <c r="L7" s="588" t="str">
        <f>VLOOKUP($Q$3,BD_Clientes,10,FALSE)</f>
        <v>-</v>
      </c>
      <c r="M7" s="588"/>
      <c r="N7" s="588"/>
      <c r="P7" s="627">
        <v>222</v>
      </c>
      <c r="Q7" s="627"/>
      <c r="R7" s="627"/>
      <c r="S7" s="627"/>
      <c r="T7" s="627"/>
    </row>
    <row r="8" spans="2:20" ht="31.5" customHeight="1" x14ac:dyDescent="0.3">
      <c r="B8" s="331" t="s">
        <v>5892</v>
      </c>
      <c r="C8" s="331"/>
      <c r="D8" s="331"/>
      <c r="E8" s="607">
        <f>VLOOKUP($Q$3,BD_Clientes,7,FALSE)</f>
        <v>989228691</v>
      </c>
      <c r="F8" s="607"/>
      <c r="G8" s="607"/>
      <c r="H8" s="607"/>
      <c r="I8" s="607"/>
      <c r="J8" s="347" t="s">
        <v>5895</v>
      </c>
      <c r="K8" s="347"/>
      <c r="L8" s="432" t="s">
        <v>3253</v>
      </c>
      <c r="M8" s="322"/>
      <c r="N8" s="322"/>
      <c r="P8" s="337"/>
      <c r="Q8" s="337"/>
    </row>
    <row r="9" spans="2:20" ht="23.25" customHeight="1" x14ac:dyDescent="0.3">
      <c r="B9" s="331" t="s">
        <v>2506</v>
      </c>
      <c r="C9" s="331"/>
      <c r="D9" s="607" t="str">
        <f>VLOOKUP($Q$3,BD_Clientes,8,FALSE)</f>
        <v>ksantana@conduto.com.pe</v>
      </c>
      <c r="E9" s="607"/>
      <c r="F9" s="607"/>
      <c r="G9" s="607"/>
      <c r="H9" s="607"/>
      <c r="I9" s="607"/>
      <c r="J9" s="346" t="s">
        <v>5915</v>
      </c>
      <c r="K9" s="346"/>
      <c r="L9" s="428">
        <v>982429895</v>
      </c>
      <c r="M9" s="343"/>
      <c r="N9" s="343"/>
    </row>
    <row r="10" spans="2:20" ht="29.25" customHeight="1" x14ac:dyDescent="0.3">
      <c r="B10" s="346" t="s">
        <v>2504</v>
      </c>
      <c r="C10" s="346"/>
      <c r="D10" s="435"/>
      <c r="E10" s="605">
        <v>46030</v>
      </c>
      <c r="F10" s="605"/>
      <c r="G10" s="605"/>
      <c r="H10" s="605"/>
      <c r="I10" s="605"/>
      <c r="J10" s="346" t="s">
        <v>2507</v>
      </c>
      <c r="K10" s="346"/>
      <c r="L10" s="606">
        <v>46030</v>
      </c>
      <c r="M10" s="606"/>
      <c r="N10" s="606"/>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0.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75" t="s">
        <v>6191</v>
      </c>
      <c r="D16" s="676"/>
      <c r="E16" s="676"/>
      <c r="F16" s="676"/>
      <c r="G16" s="676"/>
      <c r="H16" s="676"/>
      <c r="I16" s="677"/>
      <c r="J16" s="525" t="s">
        <v>1942</v>
      </c>
      <c r="K16" s="525" t="s">
        <v>5908</v>
      </c>
      <c r="L16" s="524" t="s">
        <v>5912</v>
      </c>
      <c r="M16" s="524" t="s">
        <v>5913</v>
      </c>
      <c r="N16" s="524" t="s">
        <v>5914</v>
      </c>
      <c r="O16" s="321"/>
    </row>
    <row r="17" spans="2:15" s="269" customFormat="1" ht="20.100000000000001" customHeight="1" x14ac:dyDescent="0.3">
      <c r="B17" s="524"/>
      <c r="C17" s="678" t="s">
        <v>6492</v>
      </c>
      <c r="D17" s="678"/>
      <c r="E17" s="678"/>
      <c r="F17" s="678"/>
      <c r="G17" s="678"/>
      <c r="H17" s="678"/>
      <c r="I17" s="678"/>
      <c r="J17" s="525"/>
      <c r="K17" s="525"/>
      <c r="L17" s="524"/>
      <c r="M17" s="524"/>
      <c r="N17" s="524"/>
      <c r="O17" s="321"/>
    </row>
    <row r="18" spans="2:15" s="269" customFormat="1" ht="20.100000000000001" customHeight="1" x14ac:dyDescent="0.3">
      <c r="B18" s="526" t="s">
        <v>2128</v>
      </c>
      <c r="C18" s="652" t="str">
        <f>VLOOKUP(B18,ENS.!$B$5:$H$167,2,FALSE)</f>
        <v>Análisis granulométrico por tamizado en agregado</v>
      </c>
      <c r="D18" s="652"/>
      <c r="E18" s="652"/>
      <c r="F18" s="652"/>
      <c r="G18" s="652"/>
      <c r="H18" s="652"/>
      <c r="I18" s="652"/>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2" t="str">
        <f>VLOOKUP(B19,ENS.!$B$5:$H$167,2,FALSE)</f>
        <v>Contenido de humedad  en agregado</v>
      </c>
      <c r="D19" s="652"/>
      <c r="E19" s="652"/>
      <c r="F19" s="652"/>
      <c r="G19" s="652"/>
      <c r="H19" s="652"/>
      <c r="I19" s="652"/>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2" t="str">
        <f>VLOOKUP(B20,ENS.!$B$5:$H$167,2,FALSE)</f>
        <v xml:space="preserve">Límite líquido y Límite Plástico del Suelo </v>
      </c>
      <c r="D20" s="652"/>
      <c r="E20" s="652"/>
      <c r="F20" s="652"/>
      <c r="G20" s="652"/>
      <c r="H20" s="652"/>
      <c r="I20" s="652"/>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2" t="str">
        <f>VLOOKUP(B21,ENS.!$B$5:$H$167,2,FALSE)</f>
        <v xml:space="preserve">Próctor modificado </v>
      </c>
      <c r="D21" s="652"/>
      <c r="E21" s="652"/>
      <c r="F21" s="652"/>
      <c r="G21" s="652"/>
      <c r="H21" s="652"/>
      <c r="I21" s="652"/>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2" t="str">
        <f>VLOOKUP(B22,ENS.!$B$5:$H$167,2,FALSE)</f>
        <v>Gravedad específica de los sólidos del suelo.</v>
      </c>
      <c r="D22" s="652"/>
      <c r="E22" s="652"/>
      <c r="F22" s="652"/>
      <c r="G22" s="652"/>
      <c r="H22" s="652"/>
      <c r="I22" s="652"/>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2" t="str">
        <f>VLOOKUP(B23,ENS.!$B$5:$H$167,2,FALSE)</f>
        <v>Gravedad especifica y absorción de agregado grueso</v>
      </c>
      <c r="D23" s="652"/>
      <c r="E23" s="652"/>
      <c r="F23" s="652"/>
      <c r="G23" s="652"/>
      <c r="H23" s="652"/>
      <c r="I23" s="652"/>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2" t="str">
        <f>VLOOKUP(B24,ENS.!$B$5:$H$167,2,FALSE)</f>
        <v>Corrección de Peso Unitario para Partícula de gran tamaño.</v>
      </c>
      <c r="D24" s="652"/>
      <c r="E24" s="652"/>
      <c r="F24" s="652"/>
      <c r="G24" s="652"/>
      <c r="H24" s="652"/>
      <c r="I24" s="652"/>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9" t="s">
        <v>6489</v>
      </c>
      <c r="D25" s="659"/>
      <c r="E25" s="659"/>
      <c r="F25" s="659"/>
      <c r="G25" s="659"/>
      <c r="H25" s="659"/>
      <c r="I25" s="659"/>
      <c r="J25" s="160"/>
      <c r="K25" s="160"/>
      <c r="L25" s="527"/>
      <c r="M25" s="160"/>
      <c r="N25" s="162"/>
      <c r="O25" s="321"/>
    </row>
    <row r="26" spans="2:15" s="269" customFormat="1" ht="20.100000000000001" customHeight="1" x14ac:dyDescent="0.3">
      <c r="B26" s="526" t="s">
        <v>2193</v>
      </c>
      <c r="C26" s="656" t="s">
        <v>6490</v>
      </c>
      <c r="D26" s="657"/>
      <c r="E26" s="657"/>
      <c r="F26" s="657"/>
      <c r="G26" s="657"/>
      <c r="H26" s="657"/>
      <c r="I26" s="658"/>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9" t="s">
        <v>6207</v>
      </c>
      <c r="D27" s="659"/>
      <c r="E27" s="659"/>
      <c r="F27" s="659"/>
      <c r="G27" s="659"/>
      <c r="H27" s="659"/>
      <c r="I27" s="659"/>
      <c r="J27" s="160"/>
      <c r="K27" s="160"/>
      <c r="L27" s="527"/>
      <c r="M27" s="160"/>
      <c r="N27" s="162"/>
      <c r="O27" s="321"/>
    </row>
    <row r="28" spans="2:15" s="269" customFormat="1" ht="20.100000000000001" customHeight="1" x14ac:dyDescent="0.3">
      <c r="B28" s="526" t="s">
        <v>2128</v>
      </c>
      <c r="C28" s="652" t="str">
        <f>VLOOKUP(B28,ENS.!$B$5:$H$167,2,FALSE)</f>
        <v>Análisis granulométrico por tamizado en agregado</v>
      </c>
      <c r="D28" s="652"/>
      <c r="E28" s="652"/>
      <c r="F28" s="652"/>
      <c r="G28" s="652"/>
      <c r="H28" s="652"/>
      <c r="I28" s="652"/>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2" t="str">
        <f>VLOOKUP(B29,ENS.!$B$5:$H$167,2,FALSE)</f>
        <v>Peso Unitario y Vacío de agregados</v>
      </c>
      <c r="D29" s="652"/>
      <c r="E29" s="652"/>
      <c r="F29" s="652"/>
      <c r="G29" s="652"/>
      <c r="H29" s="652"/>
      <c r="I29" s="652"/>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2" t="str">
        <f>VLOOKUP(B30,ENS.!$B$5:$H$167,2,FALSE)</f>
        <v>Contenido de humedad  en agregado</v>
      </c>
      <c r="D30" s="652"/>
      <c r="E30" s="652"/>
      <c r="F30" s="652"/>
      <c r="G30" s="652"/>
      <c r="H30" s="652"/>
      <c r="I30" s="652"/>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2" t="str">
        <f>VLOOKUP(B31,ENS.!$B$5:$H$167,2,FALSE)</f>
        <v>Gravedad especifica y absorción de agregado grueso</v>
      </c>
      <c r="D31" s="652"/>
      <c r="E31" s="652"/>
      <c r="F31" s="652"/>
      <c r="G31" s="652"/>
      <c r="H31" s="652"/>
      <c r="I31" s="652"/>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6" t="str">
        <f>VLOOKUP(B32,ENS.!$B$5:$H$167,2,FALSE)</f>
        <v>Pasante de la malla No.200</v>
      </c>
      <c r="D32" s="657"/>
      <c r="E32" s="657"/>
      <c r="F32" s="657"/>
      <c r="G32" s="657"/>
      <c r="H32" s="657"/>
      <c r="I32" s="658"/>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6" t="str">
        <f>VLOOKUP(B33,ENS.!$B$5:$H$167,2,FALSE)</f>
        <v>Terrones de arcilla y partículas friables, Fino o grueso.</v>
      </c>
      <c r="D33" s="657"/>
      <c r="E33" s="657"/>
      <c r="F33" s="657"/>
      <c r="G33" s="657"/>
      <c r="H33" s="657"/>
      <c r="I33" s="658"/>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6" t="str">
        <f>VLOOKUP(B34,ENS.!$B$5:$H$167,2,FALSE)</f>
        <v>Partículas Liviana en los agregados (carbon y lignito), Fino o grueso.</v>
      </c>
      <c r="D34" s="657"/>
      <c r="E34" s="657"/>
      <c r="F34" s="657"/>
      <c r="G34" s="657"/>
      <c r="H34" s="657"/>
      <c r="I34" s="658"/>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6" t="str">
        <f>VLOOKUP(B35,ENS.!$B$5:$H$167,2,FALSE)</f>
        <v xml:space="preserve">Porcentaje de Caras fracturadas en agregado grueso </v>
      </c>
      <c r="D35" s="657"/>
      <c r="E35" s="657"/>
      <c r="F35" s="657"/>
      <c r="G35" s="657"/>
      <c r="H35" s="657"/>
      <c r="I35" s="658"/>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6" t="str">
        <f>VLOOKUP(B36,ENS.!$B$5:$H$167,2,FALSE)</f>
        <v>Partículas planas y alargadas en agregado grueso</v>
      </c>
      <c r="D36" s="657"/>
      <c r="E36" s="657"/>
      <c r="F36" s="657"/>
      <c r="G36" s="657"/>
      <c r="H36" s="657"/>
      <c r="I36" s="658"/>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6" t="str">
        <f>VLOOKUP(B37,ENS.!$B$5:$H$167,2,FALSE)</f>
        <v>Inalterabilidad Agregado Grueso con Sulfato de Magnesio.</v>
      </c>
      <c r="D37" s="657"/>
      <c r="E37" s="657"/>
      <c r="F37" s="657"/>
      <c r="G37" s="657"/>
      <c r="H37" s="657"/>
      <c r="I37" s="658"/>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9" t="s">
        <v>6211</v>
      </c>
      <c r="D38" s="659"/>
      <c r="E38" s="659"/>
      <c r="F38" s="659"/>
      <c r="G38" s="659"/>
      <c r="H38" s="659"/>
      <c r="I38" s="659"/>
      <c r="J38" s="160"/>
      <c r="K38" s="160"/>
      <c r="L38" s="527"/>
      <c r="M38" s="160"/>
      <c r="N38" s="162"/>
      <c r="O38" s="321"/>
    </row>
    <row r="39" spans="2:16" s="269" customFormat="1" ht="20.100000000000001" customHeight="1" x14ac:dyDescent="0.3">
      <c r="B39" s="526" t="s">
        <v>2128</v>
      </c>
      <c r="C39" s="652" t="str">
        <f>VLOOKUP(B39,ENS.!$B$5:$H$167,2,FALSE)</f>
        <v>Análisis granulométrico por tamizado en agregado</v>
      </c>
      <c r="D39" s="652"/>
      <c r="E39" s="652"/>
      <c r="F39" s="652"/>
      <c r="G39" s="652"/>
      <c r="H39" s="652"/>
      <c r="I39" s="652"/>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2" t="str">
        <f>VLOOKUP(B40,ENS.!$B$5:$H$167,2,FALSE)</f>
        <v>Peso Unitario y Vacío de agregados</v>
      </c>
      <c r="D40" s="652"/>
      <c r="E40" s="652"/>
      <c r="F40" s="652"/>
      <c r="G40" s="652"/>
      <c r="H40" s="652"/>
      <c r="I40" s="652"/>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2" t="str">
        <f>VLOOKUP(B41,ENS.!$B$5:$H$167,2,FALSE)</f>
        <v>Contenido de humedad  en agregado</v>
      </c>
      <c r="D41" s="652"/>
      <c r="E41" s="652"/>
      <c r="F41" s="652"/>
      <c r="G41" s="652"/>
      <c r="H41" s="652"/>
      <c r="I41" s="652"/>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2" t="str">
        <f>VLOOKUP(B42,ENS.!$B$5:$H$167,2,FALSE)</f>
        <v>Gravedad específica y absorción del agregado fino</v>
      </c>
      <c r="D42" s="652"/>
      <c r="E42" s="652"/>
      <c r="F42" s="652"/>
      <c r="G42" s="652"/>
      <c r="H42" s="652"/>
      <c r="I42" s="652"/>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6" t="str">
        <f>VLOOKUP(B43,ENS.!$B$5:$H$167,2,FALSE)</f>
        <v>Pasante de la malla No.200</v>
      </c>
      <c r="D43" s="657"/>
      <c r="E43" s="657"/>
      <c r="F43" s="657"/>
      <c r="G43" s="657"/>
      <c r="H43" s="657"/>
      <c r="I43" s="658"/>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6" t="str">
        <f>VLOOKUP(B44,ENS.!$B$5:$H$167,2,FALSE)</f>
        <v>Terrones de arcilla y partículas friables, Fino o grueso.</v>
      </c>
      <c r="D44" s="657"/>
      <c r="E44" s="657"/>
      <c r="F44" s="657"/>
      <c r="G44" s="657"/>
      <c r="H44" s="657"/>
      <c r="I44" s="658"/>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6" t="str">
        <f>VLOOKUP(B45,ENS.!$B$5:$H$167,2,FALSE)</f>
        <v>Partículas Liviana en los agregados (carbon y lignito), Fino o grueso.</v>
      </c>
      <c r="D45" s="657"/>
      <c r="E45" s="657"/>
      <c r="F45" s="657"/>
      <c r="G45" s="657"/>
      <c r="H45" s="657"/>
      <c r="I45" s="658"/>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6" t="str">
        <f>VLOOKUP(B46,ENS.!$B$5:$H$167,2,FALSE)</f>
        <v>Impurezas Orgánicas en los áridos finos.</v>
      </c>
      <c r="D46" s="657"/>
      <c r="E46" s="657"/>
      <c r="F46" s="657"/>
      <c r="G46" s="657"/>
      <c r="H46" s="657"/>
      <c r="I46" s="658"/>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6" t="str">
        <f>VLOOKUP(B47,ENS.!$B$5:$H$167,2,FALSE)</f>
        <v>Inalterabilidad Agregado Fino con Sulfato de Magnesio.</v>
      </c>
      <c r="D47" s="657"/>
      <c r="E47" s="657"/>
      <c r="F47" s="657"/>
      <c r="G47" s="657"/>
      <c r="H47" s="657"/>
      <c r="I47" s="658"/>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6" t="str">
        <f>VLOOKUP(B48,ENS.!$B$5:$H$167,2,FALSE)</f>
        <v>Equivalente de arena</v>
      </c>
      <c r="D48" s="657"/>
      <c r="E48" s="657"/>
      <c r="F48" s="657"/>
      <c r="G48" s="657"/>
      <c r="H48" s="657"/>
      <c r="I48" s="658"/>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64" t="s">
        <v>6491</v>
      </c>
      <c r="D49" s="665"/>
      <c r="E49" s="665"/>
      <c r="F49" s="665"/>
      <c r="G49" s="665"/>
      <c r="H49" s="665"/>
      <c r="I49" s="666"/>
      <c r="J49" s="496"/>
      <c r="K49" s="496"/>
      <c r="L49" s="497"/>
      <c r="M49" s="496"/>
      <c r="N49" s="498"/>
      <c r="O49" s="321"/>
      <c r="P49" s="269" t="s">
        <v>3579</v>
      </c>
    </row>
    <row r="50" spans="2:25" s="269" customFormat="1" ht="24.9" customHeight="1" x14ac:dyDescent="0.3">
      <c r="B50" s="444" t="s">
        <v>2215</v>
      </c>
      <c r="C50" s="653" t="str">
        <f>VLOOKUP(B50,ENS.!$B$5:$H$167,2,FALSE)</f>
        <v>Determinar el contenido del ion cloruro en las aguas usadas en la elaboración de concretos y morteros de cemento Pórtland.</v>
      </c>
      <c r="D50" s="654"/>
      <c r="E50" s="654"/>
      <c r="F50" s="654"/>
      <c r="G50" s="654"/>
      <c r="H50" s="654"/>
      <c r="I50" s="655"/>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53" t="str">
        <f>VLOOKUP(B51,ENS.!$B$5:$H$167,2,FALSE)</f>
        <v>Determinar el contenido de sulfatos en las aguas usadas en la elaboración de morteros y concretos de cemento Pórtland.</v>
      </c>
      <c r="D51" s="654"/>
      <c r="E51" s="654"/>
      <c r="F51" s="654"/>
      <c r="G51" s="654"/>
      <c r="H51" s="654"/>
      <c r="I51" s="655"/>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53" t="str">
        <f>VLOOKUP(B52,ENS.!$B$5:$H$167,2,FALSE)</f>
        <v>Determinar el pH de las aguas usadas para elaborar morteros y concretos.</v>
      </c>
      <c r="D52" s="654"/>
      <c r="E52" s="654"/>
      <c r="F52" s="654"/>
      <c r="G52" s="654"/>
      <c r="H52" s="654"/>
      <c r="I52" s="655"/>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62" t="s">
        <v>3105</v>
      </c>
      <c r="M53" s="663"/>
      <c r="N53" s="491">
        <f>SUM(N17:N52)</f>
        <v>4650</v>
      </c>
      <c r="O53" s="270"/>
      <c r="P53" s="404"/>
      <c r="Q53" s="169"/>
      <c r="S53" s="169"/>
      <c r="T53" s="169"/>
      <c r="U53" s="169"/>
      <c r="V53" s="169"/>
      <c r="W53" s="169"/>
      <c r="X53" s="169"/>
      <c r="Y53" s="169"/>
    </row>
    <row r="54" spans="2:25" ht="22.2" customHeight="1" x14ac:dyDescent="0.3">
      <c r="B54" s="670" t="s">
        <v>5898</v>
      </c>
      <c r="C54" s="670"/>
      <c r="D54" s="670"/>
      <c r="E54" s="169"/>
      <c r="F54" s="169"/>
      <c r="G54" s="169"/>
      <c r="H54" s="169"/>
      <c r="I54" s="169"/>
      <c r="J54" s="169"/>
      <c r="K54" s="169"/>
      <c r="L54" s="671" t="s">
        <v>2516</v>
      </c>
      <c r="M54" s="672"/>
      <c r="N54" s="491">
        <f>+N53*0.18</f>
        <v>837</v>
      </c>
      <c r="O54" s="270"/>
      <c r="P54" s="404"/>
      <c r="Q54" s="169"/>
      <c r="R54" s="169"/>
      <c r="S54" s="169"/>
      <c r="T54" s="169"/>
      <c r="U54" s="169"/>
      <c r="V54" s="169"/>
      <c r="W54" s="169"/>
      <c r="X54" s="169"/>
      <c r="Y54" s="169"/>
    </row>
    <row r="55" spans="2:25" ht="21.75" customHeight="1" x14ac:dyDescent="0.3">
      <c r="B55" s="670"/>
      <c r="C55" s="670"/>
      <c r="D55" s="670"/>
      <c r="E55" s="169"/>
      <c r="F55" s="169"/>
      <c r="G55" s="169"/>
      <c r="H55" s="169"/>
      <c r="I55" s="169"/>
      <c r="J55" s="169"/>
      <c r="K55" s="169"/>
      <c r="L55" s="631" t="s">
        <v>5911</v>
      </c>
      <c r="M55" s="633"/>
      <c r="N55" s="492">
        <f>+N53+N54</f>
        <v>5487</v>
      </c>
      <c r="O55" s="270"/>
      <c r="P55" s="404"/>
      <c r="Q55" s="292"/>
      <c r="R55" s="292"/>
      <c r="S55" s="292"/>
      <c r="T55" s="292"/>
      <c r="U55" s="292"/>
      <c r="V55" s="292"/>
      <c r="W55" s="292"/>
      <c r="X55" s="292"/>
      <c r="Y55" s="292"/>
    </row>
    <row r="56" spans="2:25" ht="22.2" customHeight="1" x14ac:dyDescent="0.3">
      <c r="B56" s="670"/>
      <c r="C56" s="670"/>
      <c r="D56" s="670"/>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70"/>
      <c r="C57" s="670"/>
      <c r="D57" s="670"/>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73" t="s">
        <v>6493</v>
      </c>
      <c r="C59" s="673"/>
      <c r="D59" s="673"/>
      <c r="E59" s="673"/>
      <c r="F59" s="673"/>
      <c r="G59" s="673"/>
      <c r="H59" s="673"/>
      <c r="I59" s="673"/>
      <c r="J59" s="673"/>
      <c r="K59" s="673"/>
      <c r="L59" s="673"/>
      <c r="M59" s="673"/>
      <c r="N59" s="673"/>
      <c r="O59" s="336"/>
      <c r="P59" s="406"/>
      <c r="Q59" s="327"/>
      <c r="R59" s="327"/>
      <c r="S59" s="327"/>
      <c r="T59" s="327"/>
      <c r="U59" s="327"/>
      <c r="V59" s="327"/>
      <c r="W59" s="327"/>
      <c r="X59" s="327"/>
      <c r="Y59" s="327"/>
    </row>
    <row r="60" spans="2:25" s="322" customFormat="1" ht="116.25" customHeight="1" x14ac:dyDescent="0.3">
      <c r="B60" s="623" t="s">
        <v>6500</v>
      </c>
      <c r="C60" s="623"/>
      <c r="D60" s="623"/>
      <c r="E60" s="623"/>
      <c r="F60" s="623"/>
      <c r="G60" s="623"/>
      <c r="H60" s="623"/>
      <c r="I60" s="623"/>
      <c r="J60" s="623"/>
      <c r="K60" s="623"/>
      <c r="L60" s="623"/>
      <c r="M60" s="623"/>
      <c r="N60" s="623"/>
      <c r="O60" s="336"/>
      <c r="P60" s="406"/>
      <c r="Q60" s="327"/>
      <c r="R60" s="327"/>
      <c r="S60" s="327"/>
      <c r="T60" s="327"/>
      <c r="U60" s="327"/>
      <c r="V60" s="327"/>
      <c r="W60" s="327"/>
      <c r="X60" s="327"/>
      <c r="Y60" s="327"/>
    </row>
    <row r="61" spans="2:25" s="322" customFormat="1" ht="72" customHeight="1" x14ac:dyDescent="0.3">
      <c r="B61" s="660" t="s">
        <v>6501</v>
      </c>
      <c r="C61" s="660"/>
      <c r="D61" s="660"/>
      <c r="E61" s="660"/>
      <c r="F61" s="660"/>
      <c r="G61" s="660"/>
      <c r="H61" s="660"/>
      <c r="I61" s="660"/>
      <c r="J61" s="660"/>
      <c r="K61" s="660"/>
      <c r="L61" s="660"/>
      <c r="M61" s="660"/>
      <c r="N61" s="660"/>
      <c r="O61" s="336"/>
      <c r="P61" s="406"/>
      <c r="Q61" s="327"/>
      <c r="R61" s="327"/>
      <c r="S61" s="327"/>
      <c r="T61" s="327"/>
      <c r="U61" s="327"/>
      <c r="V61" s="327"/>
      <c r="W61" s="327"/>
      <c r="X61" s="327"/>
      <c r="Y61" s="327"/>
    </row>
    <row r="62" spans="2:25" ht="68.25" customHeight="1" x14ac:dyDescent="0.3">
      <c r="B62" s="623" t="s">
        <v>6494</v>
      </c>
      <c r="C62" s="623"/>
      <c r="D62" s="623"/>
      <c r="E62" s="623"/>
      <c r="F62" s="623"/>
      <c r="G62" s="623"/>
      <c r="H62" s="623"/>
      <c r="I62" s="623"/>
      <c r="J62" s="623"/>
      <c r="K62" s="623"/>
      <c r="L62" s="623"/>
      <c r="M62" s="623"/>
      <c r="N62" s="623"/>
      <c r="O62" s="270"/>
      <c r="P62" s="404"/>
      <c r="Q62" s="292"/>
      <c r="R62" s="292"/>
      <c r="S62" s="292"/>
      <c r="T62" s="292"/>
      <c r="U62" s="292"/>
      <c r="V62" s="292"/>
      <c r="W62" s="292"/>
      <c r="X62" s="292"/>
      <c r="Y62" s="292"/>
    </row>
    <row r="63" spans="2:25" ht="79.5" customHeight="1" x14ac:dyDescent="0.3">
      <c r="B63" s="623" t="s">
        <v>6495</v>
      </c>
      <c r="C63" s="623"/>
      <c r="D63" s="623"/>
      <c r="E63" s="623"/>
      <c r="F63" s="623"/>
      <c r="G63" s="623"/>
      <c r="H63" s="623"/>
      <c r="I63" s="623"/>
      <c r="J63" s="623"/>
      <c r="K63" s="623"/>
      <c r="L63" s="623"/>
      <c r="M63" s="623"/>
      <c r="N63" s="623"/>
      <c r="O63" s="270"/>
      <c r="P63" s="404"/>
      <c r="Q63" s="292"/>
      <c r="R63" s="292"/>
      <c r="S63" s="292"/>
      <c r="T63" s="292"/>
      <c r="U63" s="292"/>
      <c r="V63" s="292"/>
      <c r="W63" s="292"/>
      <c r="X63" s="292"/>
      <c r="Y63" s="292"/>
    </row>
    <row r="64" spans="2:25" s="322" customFormat="1" ht="82.5" customHeight="1" x14ac:dyDescent="0.3">
      <c r="B64" s="674" t="s">
        <v>6496</v>
      </c>
      <c r="C64" s="674"/>
      <c r="D64" s="674"/>
      <c r="E64" s="674"/>
      <c r="F64" s="674"/>
      <c r="G64" s="674"/>
      <c r="H64" s="674"/>
      <c r="I64" s="674"/>
      <c r="J64" s="674"/>
      <c r="K64" s="674"/>
      <c r="L64" s="674"/>
      <c r="M64" s="674"/>
      <c r="N64" s="674"/>
      <c r="O64" s="323"/>
      <c r="P64" s="324"/>
    </row>
    <row r="65" spans="2:25" s="322" customFormat="1" ht="147.6" customHeight="1" x14ac:dyDescent="0.3">
      <c r="B65" s="623" t="s">
        <v>6497</v>
      </c>
      <c r="C65" s="623"/>
      <c r="D65" s="623"/>
      <c r="E65" s="623"/>
      <c r="F65" s="623"/>
      <c r="G65" s="623"/>
      <c r="H65" s="623"/>
      <c r="I65" s="623"/>
      <c r="J65" s="623"/>
      <c r="K65" s="623"/>
      <c r="L65" s="623"/>
      <c r="M65" s="623"/>
      <c r="N65" s="623"/>
      <c r="O65" s="323"/>
      <c r="P65" s="324"/>
      <c r="Q65" s="325"/>
      <c r="R65" s="326"/>
    </row>
    <row r="66" spans="2:25" s="322" customFormat="1" ht="45.6" customHeight="1" x14ac:dyDescent="0.3">
      <c r="B66" s="623" t="s">
        <v>6498</v>
      </c>
      <c r="C66" s="623"/>
      <c r="D66" s="623"/>
      <c r="E66" s="623"/>
      <c r="F66" s="623"/>
      <c r="G66" s="623"/>
      <c r="H66" s="623"/>
      <c r="I66" s="623"/>
      <c r="J66" s="623"/>
      <c r="K66" s="623"/>
      <c r="L66" s="623"/>
      <c r="M66" s="623"/>
      <c r="N66" s="623"/>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9" t="s">
        <v>2477</v>
      </c>
      <c r="C73" s="669"/>
      <c r="D73" s="669"/>
      <c r="E73" s="669"/>
      <c r="F73" s="669"/>
      <c r="G73" s="669"/>
      <c r="H73" s="669"/>
      <c r="I73" s="669"/>
      <c r="J73" s="669"/>
      <c r="K73" s="669"/>
      <c r="L73" s="669"/>
      <c r="M73" s="669"/>
      <c r="N73" s="669"/>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3" t="s">
        <v>5906</v>
      </c>
      <c r="C86" s="623"/>
      <c r="D86" s="623"/>
      <c r="E86" s="623"/>
      <c r="F86" s="623"/>
      <c r="G86" s="623"/>
      <c r="H86" s="623"/>
      <c r="I86" s="623"/>
      <c r="J86" s="623"/>
      <c r="K86" s="623"/>
      <c r="L86" s="623"/>
      <c r="M86" s="623"/>
      <c r="N86" s="623"/>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0"/>
      <c r="C94" s="660"/>
      <c r="D94" s="660"/>
      <c r="E94" s="660"/>
      <c r="F94" s="490"/>
      <c r="G94" s="490"/>
      <c r="H94" s="490"/>
      <c r="I94" s="490"/>
      <c r="J94" s="490"/>
      <c r="K94" s="490"/>
      <c r="L94" s="490"/>
      <c r="M94" s="661"/>
      <c r="N94" s="661"/>
      <c r="Q94" s="332"/>
      <c r="R94" s="332"/>
    </row>
    <row r="95" spans="2:18" ht="51" customHeight="1" x14ac:dyDescent="0.25">
      <c r="B95" s="667" t="s">
        <v>5903</v>
      </c>
      <c r="C95" s="667"/>
      <c r="D95" s="667"/>
      <c r="E95" s="532"/>
      <c r="F95" s="532"/>
      <c r="G95" s="523"/>
      <c r="H95" s="523"/>
      <c r="I95" s="533"/>
      <c r="J95" s="533"/>
      <c r="K95" s="533"/>
      <c r="L95" s="533"/>
      <c r="M95" s="668" t="s">
        <v>2485</v>
      </c>
      <c r="N95" s="668"/>
    </row>
  </sheetData>
  <mergeCells count="70">
    <mergeCell ref="D6:I6"/>
    <mergeCell ref="P6:T6"/>
    <mergeCell ref="B3:F3"/>
    <mergeCell ref="G3:K3"/>
    <mergeCell ref="D5:I5"/>
    <mergeCell ref="L5:N5"/>
    <mergeCell ref="P5:T5"/>
    <mergeCell ref="P7:T7"/>
    <mergeCell ref="E8:I8"/>
    <mergeCell ref="D9:I9"/>
    <mergeCell ref="E10:I10"/>
    <mergeCell ref="L10:N10"/>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37:I37"/>
    <mergeCell ref="C38:I38"/>
    <mergeCell ref="C40:I40"/>
    <mergeCell ref="B86:N86"/>
    <mergeCell ref="B94:E94"/>
    <mergeCell ref="M94:N94"/>
    <mergeCell ref="C52:I52"/>
    <mergeCell ref="L53:M53"/>
    <mergeCell ref="C49:I49"/>
    <mergeCell ref="C43:I43"/>
    <mergeCell ref="C44:I44"/>
    <mergeCell ref="C45:I45"/>
    <mergeCell ref="C46:I46"/>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19</v>
      </c>
      <c r="H3" s="626"/>
      <c r="I3" s="626"/>
      <c r="J3" s="626"/>
      <c r="K3" s="626"/>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607" t="str">
        <f>VLOOKUP($Q$3,BD_Clientes,2,FALSE)</f>
        <v>CONSORCIO HIDRAULICO TUTI</v>
      </c>
      <c r="E5" s="607"/>
      <c r="F5" s="607"/>
      <c r="G5" s="607"/>
      <c r="H5" s="607"/>
      <c r="I5" s="607"/>
      <c r="J5" s="344" t="s">
        <v>5893</v>
      </c>
      <c r="L5" s="628" t="str">
        <f>VLOOKUP($Q$3,BD_Clientes,9,FALSE)</f>
        <v>Reservorio Tuti</v>
      </c>
      <c r="M5" s="628"/>
      <c r="N5" s="628"/>
      <c r="P5" s="626">
        <v>222</v>
      </c>
      <c r="Q5" s="626"/>
      <c r="R5" s="626"/>
      <c r="S5" s="626"/>
      <c r="T5" s="626"/>
    </row>
    <row r="6" spans="2:20" ht="23.25" customHeight="1" x14ac:dyDescent="0.3">
      <c r="B6" s="331" t="s">
        <v>5891</v>
      </c>
      <c r="C6" s="331"/>
      <c r="D6" s="607">
        <f>VLOOKUP($Q$3,BD_Clientes,3,FALSE)</f>
        <v>20613329251</v>
      </c>
      <c r="E6" s="607"/>
      <c r="F6" s="607"/>
      <c r="G6" s="607"/>
      <c r="H6" s="607"/>
      <c r="I6" s="607"/>
      <c r="J6" s="322"/>
      <c r="K6" s="343"/>
      <c r="L6" s="476"/>
      <c r="M6" s="476"/>
      <c r="N6" s="476"/>
      <c r="P6" s="629">
        <v>222</v>
      </c>
      <c r="Q6" s="629"/>
      <c r="R6" s="629"/>
      <c r="S6" s="629"/>
      <c r="T6" s="629"/>
    </row>
    <row r="7" spans="2:20" ht="34.5" customHeight="1" x14ac:dyDescent="0.3">
      <c r="B7" s="331" t="s">
        <v>2499</v>
      </c>
      <c r="C7" s="331"/>
      <c r="D7" s="607" t="str">
        <f>VLOOKUP($Q$3,BD_Clientes,5,FALSE)</f>
        <v>Ing. Jessika Contreras</v>
      </c>
      <c r="E7" s="607"/>
      <c r="F7" s="607"/>
      <c r="G7" s="607"/>
      <c r="H7" s="607"/>
      <c r="I7" s="607"/>
      <c r="J7" s="344" t="s">
        <v>5894</v>
      </c>
      <c r="L7" s="628" t="str">
        <f>VLOOKUP($Q$3,BD_Clientes,10,FALSE)</f>
        <v>Arequipa</v>
      </c>
      <c r="M7" s="628"/>
      <c r="N7" s="628"/>
      <c r="P7" s="627">
        <v>222</v>
      </c>
      <c r="Q7" s="627"/>
      <c r="R7" s="627"/>
      <c r="S7" s="627"/>
      <c r="T7" s="627"/>
    </row>
    <row r="8" spans="2:20" ht="33" customHeight="1" x14ac:dyDescent="0.3">
      <c r="B8" s="331" t="s">
        <v>5892</v>
      </c>
      <c r="C8" s="331"/>
      <c r="D8" s="331"/>
      <c r="E8" s="607">
        <f>VLOOKUP($Q$3,BD_Clientes,7,FALSE)</f>
        <v>908888486</v>
      </c>
      <c r="F8" s="607"/>
      <c r="G8" s="607"/>
      <c r="H8" s="607"/>
      <c r="I8" s="607"/>
      <c r="J8" s="347" t="s">
        <v>5895</v>
      </c>
      <c r="K8" s="347"/>
      <c r="L8" s="432" t="s">
        <v>3253</v>
      </c>
      <c r="M8" s="322"/>
      <c r="N8" s="322"/>
      <c r="P8" s="337"/>
      <c r="Q8" s="337"/>
    </row>
    <row r="9" spans="2:20" ht="39.75" customHeight="1" x14ac:dyDescent="0.3">
      <c r="B9" s="331" t="s">
        <v>2506</v>
      </c>
      <c r="C9" s="331"/>
      <c r="D9" s="607" t="str">
        <f>VLOOKUP($Q$3,BD_Clientes,8,FALSE)</f>
        <v>hidraulicotuti@gmail.com</v>
      </c>
      <c r="E9" s="607"/>
      <c r="F9" s="607"/>
      <c r="G9" s="607"/>
      <c r="H9" s="607"/>
      <c r="I9" s="607"/>
      <c r="J9" s="346" t="s">
        <v>5915</v>
      </c>
      <c r="K9" s="346"/>
      <c r="L9" s="428">
        <v>982429895</v>
      </c>
      <c r="M9" s="343"/>
      <c r="N9" s="343"/>
    </row>
    <row r="10" spans="2:20" ht="46.5" customHeight="1" x14ac:dyDescent="0.3">
      <c r="B10" s="346" t="s">
        <v>2504</v>
      </c>
      <c r="C10" s="346"/>
      <c r="D10" s="435"/>
      <c r="E10" s="605">
        <v>45664</v>
      </c>
      <c r="F10" s="605"/>
      <c r="G10" s="605"/>
      <c r="H10" s="605"/>
      <c r="I10" s="605"/>
      <c r="J10" s="346" t="s">
        <v>2507</v>
      </c>
      <c r="K10" s="346"/>
      <c r="L10" s="606">
        <v>46029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6488</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9.5" customHeight="1" x14ac:dyDescent="0.3">
      <c r="B26" s="584" t="s">
        <v>6487</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87.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9:I19"/>
    <mergeCell ref="C18:I18"/>
    <mergeCell ref="B29:N29"/>
    <mergeCell ref="L20:M20"/>
    <mergeCell ref="L21:M21"/>
    <mergeCell ref="L22:M22"/>
    <mergeCell ref="B24:N24"/>
    <mergeCell ref="B25:N25"/>
    <mergeCell ref="B26:N26"/>
    <mergeCell ref="B27:D27"/>
    <mergeCell ref="B28:N28"/>
    <mergeCell ref="B61:D61"/>
    <mergeCell ref="M61:N61"/>
    <mergeCell ref="B30:N30"/>
    <mergeCell ref="B31:N31"/>
    <mergeCell ref="B32:N32"/>
    <mergeCell ref="B39:N39"/>
    <mergeCell ref="B52:N52"/>
    <mergeCell ref="B60:E60"/>
    <mergeCell ref="M60:N60"/>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11</v>
      </c>
      <c r="H3" s="626"/>
      <c r="I3" s="626"/>
      <c r="J3" s="626"/>
      <c r="K3" s="626"/>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607" t="str">
        <f>VLOOKUP($Q$3,BD_Clientes,2,FALSE)</f>
        <v>ALEXANDER COTRINA VÁSQUEZ</v>
      </c>
      <c r="E5" s="607"/>
      <c r="F5" s="607"/>
      <c r="G5" s="607"/>
      <c r="H5" s="607"/>
      <c r="I5" s="607"/>
      <c r="J5" s="344" t="s">
        <v>5893</v>
      </c>
      <c r="L5" s="628" t="str">
        <f>VLOOKUP($Q$3,BD_Clientes,9,FALSE)</f>
        <v xml:space="preserve">Vía de Evitamiento Cusco </v>
      </c>
      <c r="M5" s="628"/>
      <c r="N5" s="628"/>
      <c r="P5" s="626">
        <v>222</v>
      </c>
      <c r="Q5" s="626"/>
      <c r="R5" s="626"/>
      <c r="S5" s="626"/>
      <c r="T5" s="626"/>
    </row>
    <row r="6" spans="2:20" ht="19.5" customHeight="1" x14ac:dyDescent="0.3">
      <c r="B6" s="331" t="s">
        <v>5891</v>
      </c>
      <c r="C6" s="331"/>
      <c r="D6" s="607" t="str">
        <f>VLOOKUP($Q$3,BD_Clientes,3,FALSE)</f>
        <v>-</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ALEXANDER COTRINA VÁSQUEZ</v>
      </c>
      <c r="E7" s="607"/>
      <c r="F7" s="607"/>
      <c r="G7" s="607"/>
      <c r="H7" s="607"/>
      <c r="I7" s="607"/>
      <c r="J7" s="344" t="s">
        <v>5894</v>
      </c>
      <c r="L7" s="628" t="str">
        <f>VLOOKUP($Q$3,BD_Clientes,10,FALSE)</f>
        <v xml:space="preserve">Cusco </v>
      </c>
      <c r="M7" s="628"/>
      <c r="N7" s="628"/>
      <c r="P7" s="627">
        <v>222</v>
      </c>
      <c r="Q7" s="627"/>
      <c r="R7" s="627"/>
      <c r="S7" s="627"/>
      <c r="T7" s="627"/>
    </row>
    <row r="8" spans="2:20" ht="30" customHeight="1" x14ac:dyDescent="0.3">
      <c r="B8" s="331" t="s">
        <v>5892</v>
      </c>
      <c r="C8" s="331"/>
      <c r="D8" s="331"/>
      <c r="E8" s="607">
        <f>VLOOKUP($Q$3,BD_Clientes,7,FALSE)</f>
        <v>997520578</v>
      </c>
      <c r="F8" s="607"/>
      <c r="G8" s="607"/>
      <c r="H8" s="607"/>
      <c r="I8" s="607"/>
      <c r="J8" s="347" t="s">
        <v>5895</v>
      </c>
      <c r="K8" s="347"/>
      <c r="L8" s="432" t="s">
        <v>3253</v>
      </c>
      <c r="M8" s="322"/>
      <c r="N8" s="322"/>
      <c r="P8" s="337"/>
      <c r="Q8" s="337"/>
    </row>
    <row r="9" spans="2:20" ht="30" customHeight="1" x14ac:dyDescent="0.3">
      <c r="B9" s="331" t="s">
        <v>2506</v>
      </c>
      <c r="C9" s="331"/>
      <c r="D9" s="607" t="str">
        <f>VLOOKUP($Q$3,BD_Clientes,8,FALSE)</f>
        <v>cotrinlex@gmail.com</v>
      </c>
      <c r="E9" s="607"/>
      <c r="F9" s="607"/>
      <c r="G9" s="607"/>
      <c r="H9" s="607"/>
      <c r="I9" s="607"/>
      <c r="J9" s="346" t="s">
        <v>5915</v>
      </c>
      <c r="K9" s="346"/>
      <c r="L9" s="588">
        <v>982429895</v>
      </c>
      <c r="M9" s="588"/>
      <c r="N9" s="588"/>
    </row>
    <row r="10" spans="2:20" ht="31.5" customHeight="1" x14ac:dyDescent="0.3">
      <c r="B10" s="346" t="s">
        <v>2504</v>
      </c>
      <c r="C10" s="346"/>
      <c r="D10" s="435"/>
      <c r="E10" s="605">
        <v>46027</v>
      </c>
      <c r="F10" s="605"/>
      <c r="G10" s="605"/>
      <c r="H10" s="605"/>
      <c r="I10" s="605"/>
      <c r="J10" s="346" t="s">
        <v>2507</v>
      </c>
      <c r="K10" s="346"/>
      <c r="L10" s="606">
        <v>46027</v>
      </c>
      <c r="M10" s="606"/>
      <c r="N10" s="606"/>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62" t="s">
        <v>3105</v>
      </c>
      <c r="M40" s="663"/>
      <c r="N40" s="491">
        <f>SUM(N17:N39)</f>
        <v>253630</v>
      </c>
      <c r="O40" s="504"/>
      <c r="P40" s="505"/>
    </row>
    <row r="41" spans="2:25" s="490" customFormat="1" ht="21.9" customHeight="1" x14ac:dyDescent="0.3">
      <c r="L41" s="671" t="s">
        <v>2516</v>
      </c>
      <c r="M41" s="672"/>
      <c r="N41" s="491">
        <f>+N40*0.18</f>
        <v>45653.4</v>
      </c>
      <c r="O41" s="504"/>
      <c r="P41" s="505"/>
    </row>
    <row r="42" spans="2:25" s="490" customFormat="1" ht="21.9" customHeight="1" x14ac:dyDescent="0.3">
      <c r="L42" s="631" t="s">
        <v>5911</v>
      </c>
      <c r="M42" s="633"/>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602" t="s">
        <v>4014</v>
      </c>
      <c r="C44" s="602"/>
      <c r="D44" s="602"/>
      <c r="E44" s="602"/>
      <c r="F44" s="602"/>
      <c r="G44" s="602"/>
      <c r="H44" s="602"/>
      <c r="I44" s="602"/>
      <c r="J44" s="602"/>
      <c r="K44" s="602"/>
      <c r="L44" s="602"/>
      <c r="M44" s="602"/>
      <c r="N44" s="602"/>
      <c r="O44" s="336"/>
      <c r="P44" s="406"/>
      <c r="Q44" s="327"/>
      <c r="R44" s="327"/>
      <c r="S44" s="327"/>
      <c r="T44" s="327"/>
      <c r="U44" s="327"/>
      <c r="V44" s="327"/>
      <c r="W44" s="327"/>
      <c r="X44" s="327"/>
      <c r="Y44" s="327"/>
    </row>
    <row r="45" spans="2:25" s="322" customFormat="1" ht="75" customHeight="1" x14ac:dyDescent="0.3">
      <c r="B45" s="586" t="s">
        <v>5898</v>
      </c>
      <c r="C45" s="586"/>
      <c r="D45" s="586"/>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0" t="s">
        <v>6441</v>
      </c>
      <c r="C46" s="590"/>
      <c r="D46" s="590"/>
      <c r="E46" s="590"/>
      <c r="F46" s="590"/>
      <c r="G46" s="590"/>
      <c r="H46" s="590"/>
      <c r="I46" s="590"/>
      <c r="J46" s="590"/>
      <c r="K46" s="590"/>
      <c r="L46" s="590"/>
      <c r="M46" s="590"/>
      <c r="N46" s="590"/>
      <c r="O46" s="336"/>
      <c r="P46" s="406"/>
      <c r="Q46" s="327"/>
      <c r="R46" s="327"/>
      <c r="S46" s="327"/>
      <c r="T46" s="327"/>
      <c r="U46" s="327"/>
      <c r="V46" s="327"/>
      <c r="W46" s="327"/>
      <c r="X46" s="327"/>
      <c r="Y46" s="327"/>
    </row>
    <row r="47" spans="2:25" s="322" customFormat="1" ht="87.75" customHeight="1" x14ac:dyDescent="0.3">
      <c r="B47" s="584" t="s">
        <v>6470</v>
      </c>
      <c r="C47" s="584"/>
      <c r="D47" s="584"/>
      <c r="E47" s="584"/>
      <c r="F47" s="584"/>
      <c r="G47" s="584"/>
      <c r="H47" s="584"/>
      <c r="I47" s="584"/>
      <c r="J47" s="584"/>
      <c r="K47" s="584"/>
      <c r="L47" s="584"/>
      <c r="M47" s="584"/>
      <c r="N47" s="584"/>
      <c r="O47" s="336"/>
      <c r="P47" s="406"/>
      <c r="Q47" s="327"/>
      <c r="R47" s="327"/>
      <c r="S47" s="327"/>
      <c r="T47" s="327"/>
      <c r="U47" s="327"/>
      <c r="V47" s="327"/>
      <c r="W47" s="327"/>
      <c r="X47" s="327"/>
      <c r="Y47" s="327"/>
    </row>
    <row r="48" spans="2:25" ht="72.75" customHeight="1" x14ac:dyDescent="0.3">
      <c r="B48" s="590" t="s">
        <v>4017</v>
      </c>
      <c r="C48" s="590"/>
      <c r="D48" s="590"/>
      <c r="E48" s="590"/>
      <c r="F48" s="590"/>
      <c r="G48" s="590"/>
      <c r="H48" s="590"/>
      <c r="I48" s="590"/>
      <c r="J48" s="590"/>
      <c r="K48" s="590"/>
      <c r="L48" s="590"/>
      <c r="M48" s="590"/>
      <c r="N48" s="590"/>
      <c r="O48" s="270"/>
      <c r="P48" s="404"/>
      <c r="Q48" s="292"/>
      <c r="R48" s="292"/>
      <c r="S48" s="292"/>
      <c r="T48" s="292"/>
      <c r="U48" s="292"/>
      <c r="V48" s="292"/>
      <c r="W48" s="292"/>
      <c r="X48" s="292"/>
      <c r="Y48" s="292"/>
    </row>
    <row r="49" spans="2:25" ht="86.25" customHeight="1" x14ac:dyDescent="0.3">
      <c r="B49" s="590" t="s">
        <v>5900</v>
      </c>
      <c r="C49" s="590"/>
      <c r="D49" s="590"/>
      <c r="E49" s="590"/>
      <c r="F49" s="590"/>
      <c r="G49" s="590"/>
      <c r="H49" s="590"/>
      <c r="I49" s="590"/>
      <c r="J49" s="590"/>
      <c r="K49" s="590"/>
      <c r="L49" s="590"/>
      <c r="M49" s="590"/>
      <c r="N49" s="590"/>
      <c r="O49" s="270"/>
      <c r="P49" s="404"/>
      <c r="Q49" s="292"/>
      <c r="R49" s="292"/>
      <c r="S49" s="292"/>
      <c r="T49" s="292"/>
      <c r="U49" s="292"/>
      <c r="V49" s="292"/>
      <c r="W49" s="292"/>
      <c r="X49" s="292"/>
      <c r="Y49" s="292"/>
    </row>
    <row r="50" spans="2:25" s="322" customFormat="1" ht="90" customHeight="1" x14ac:dyDescent="0.3">
      <c r="B50" s="589" t="s">
        <v>5901</v>
      </c>
      <c r="C50" s="589"/>
      <c r="D50" s="589"/>
      <c r="E50" s="589"/>
      <c r="F50" s="589"/>
      <c r="G50" s="589"/>
      <c r="H50" s="589"/>
      <c r="I50" s="589"/>
      <c r="J50" s="589"/>
      <c r="K50" s="589"/>
      <c r="L50" s="589"/>
      <c r="M50" s="589"/>
      <c r="N50" s="589"/>
      <c r="O50" s="323"/>
      <c r="P50" s="324"/>
    </row>
    <row r="51" spans="2:25" s="322" customFormat="1" ht="147.6" customHeight="1" x14ac:dyDescent="0.3">
      <c r="B51" s="590" t="s">
        <v>5907</v>
      </c>
      <c r="C51" s="590"/>
      <c r="D51" s="590"/>
      <c r="E51" s="590"/>
      <c r="F51" s="590"/>
      <c r="G51" s="590"/>
      <c r="H51" s="590"/>
      <c r="I51" s="590"/>
      <c r="J51" s="590"/>
      <c r="K51" s="590"/>
      <c r="L51" s="590"/>
      <c r="M51" s="590"/>
      <c r="N51" s="590"/>
      <c r="O51" s="323"/>
      <c r="P51" s="324"/>
      <c r="Q51" s="325"/>
      <c r="R51" s="326"/>
    </row>
    <row r="52" spans="2:25" s="322" customFormat="1" ht="48.75" customHeight="1" x14ac:dyDescent="0.3">
      <c r="B52" s="590" t="s">
        <v>4015</v>
      </c>
      <c r="C52" s="590"/>
      <c r="D52" s="590"/>
      <c r="E52" s="590"/>
      <c r="F52" s="590"/>
      <c r="G52" s="590"/>
      <c r="H52" s="590"/>
      <c r="I52" s="590"/>
      <c r="J52" s="590"/>
      <c r="K52" s="590"/>
      <c r="L52" s="590"/>
      <c r="M52" s="590"/>
      <c r="N52" s="590"/>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591" t="s">
        <v>2477</v>
      </c>
      <c r="C59" s="591"/>
      <c r="D59" s="591"/>
      <c r="E59" s="591"/>
      <c r="F59" s="591"/>
      <c r="G59" s="591"/>
      <c r="H59" s="591"/>
      <c r="I59" s="591"/>
      <c r="J59" s="591"/>
      <c r="K59" s="591"/>
      <c r="L59" s="591"/>
      <c r="M59" s="591"/>
      <c r="N59" s="591"/>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0" t="s">
        <v>5906</v>
      </c>
      <c r="C72" s="590"/>
      <c r="D72" s="590"/>
      <c r="E72" s="590"/>
      <c r="F72" s="590"/>
      <c r="G72" s="590"/>
      <c r="H72" s="590"/>
      <c r="I72" s="590"/>
      <c r="J72" s="590"/>
      <c r="K72" s="590"/>
      <c r="L72" s="590"/>
      <c r="M72" s="590"/>
      <c r="N72" s="590"/>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4"/>
      <c r="C80" s="584"/>
      <c r="D80" s="584"/>
      <c r="E80" s="584"/>
      <c r="M80" s="585"/>
      <c r="N80" s="585"/>
      <c r="Q80" s="332"/>
      <c r="R80" s="332"/>
    </row>
    <row r="81" spans="2:14" ht="78.75" customHeight="1" x14ac:dyDescent="0.3">
      <c r="B81" s="586" t="s">
        <v>5903</v>
      </c>
      <c r="C81" s="586"/>
      <c r="D81" s="586"/>
      <c r="E81" s="330"/>
      <c r="F81" s="330"/>
      <c r="G81" s="431"/>
      <c r="H81" s="431"/>
      <c r="I81" s="409"/>
      <c r="J81" s="409"/>
      <c r="K81" s="409"/>
      <c r="L81" s="409"/>
      <c r="M81" s="587" t="s">
        <v>2485</v>
      </c>
      <c r="N81" s="587"/>
    </row>
  </sheetData>
  <mergeCells count="57">
    <mergeCell ref="C26:I26"/>
    <mergeCell ref="C27:I27"/>
    <mergeCell ref="C38:I38"/>
    <mergeCell ref="C32:I32"/>
    <mergeCell ref="C33:I33"/>
    <mergeCell ref="C34:I34"/>
    <mergeCell ref="C36:I36"/>
    <mergeCell ref="C37:I37"/>
    <mergeCell ref="B72:N72"/>
    <mergeCell ref="B80:E80"/>
    <mergeCell ref="M80:N80"/>
    <mergeCell ref="B81:D81"/>
    <mergeCell ref="M81:N81"/>
    <mergeCell ref="B59:N59"/>
    <mergeCell ref="L41:M41"/>
    <mergeCell ref="L42:M42"/>
    <mergeCell ref="B44:N44"/>
    <mergeCell ref="B46:N46"/>
    <mergeCell ref="B45:D45"/>
    <mergeCell ref="B47:N47"/>
    <mergeCell ref="B48:N48"/>
    <mergeCell ref="B49:N49"/>
    <mergeCell ref="B50:N50"/>
    <mergeCell ref="B51:N51"/>
    <mergeCell ref="B52:N52"/>
    <mergeCell ref="C39:I39"/>
    <mergeCell ref="L40:M40"/>
    <mergeCell ref="C28:I28"/>
    <mergeCell ref="C29:I29"/>
    <mergeCell ref="C30:I30"/>
    <mergeCell ref="C31:I31"/>
    <mergeCell ref="C35:I35"/>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P7:T7"/>
    <mergeCell ref="E8:I8"/>
    <mergeCell ref="D9:I9"/>
    <mergeCell ref="L9:N9"/>
    <mergeCell ref="G3:K3"/>
    <mergeCell ref="D5:I5"/>
    <mergeCell ref="L5:N5"/>
    <mergeCell ref="P5:T5"/>
    <mergeCell ref="D6:I6"/>
    <mergeCell ref="P6:T6"/>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CONSORCIO LIMA NORTE</v>
      </c>
      <c r="E5" s="607"/>
      <c r="F5" s="607"/>
      <c r="G5" s="607"/>
      <c r="H5" s="607"/>
      <c r="I5" s="607"/>
      <c r="J5" s="344" t="s">
        <v>5893</v>
      </c>
      <c r="L5" s="628" t="str">
        <f>VLOOKUP($Q$3,BD_Clientes,9,FALSE)</f>
        <v>Mejoramiento y Ampliación del Sistema de Agua Potable y Alcantarillado de Los Sectores 359 y 360 y Nuevas Habilitaciones Esquema Integral de Carabayllo</v>
      </c>
      <c r="M5" s="628"/>
      <c r="N5" s="628"/>
      <c r="P5" s="626">
        <v>222</v>
      </c>
      <c r="Q5" s="626"/>
      <c r="R5" s="626"/>
      <c r="S5" s="626"/>
      <c r="T5" s="626"/>
    </row>
    <row r="6" spans="2:20" ht="24" customHeight="1" x14ac:dyDescent="0.3">
      <c r="B6" s="331" t="s">
        <v>5891</v>
      </c>
      <c r="C6" s="331"/>
      <c r="D6" s="607">
        <f>VLOOKUP($Q$3,BD_Clientes,3,FALSE)</f>
        <v>20614164833</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 xml:space="preserve">Ing. Erick Aponte / Joao Cano </v>
      </c>
      <c r="E7" s="607"/>
      <c r="F7" s="607"/>
      <c r="G7" s="607"/>
      <c r="H7" s="607"/>
      <c r="I7" s="607"/>
      <c r="J7" s="344" t="s">
        <v>5894</v>
      </c>
      <c r="L7" s="628" t="str">
        <f>VLOOKUP($Q$3,BD_Clientes,10,FALSE)</f>
        <v>Carabayllo - Lima</v>
      </c>
      <c r="M7" s="628"/>
      <c r="N7" s="628"/>
      <c r="P7" s="627">
        <v>222</v>
      </c>
      <c r="Q7" s="627"/>
      <c r="R7" s="627"/>
      <c r="S7" s="627"/>
      <c r="T7" s="627"/>
    </row>
    <row r="8" spans="2:20" ht="34.5" customHeight="1" x14ac:dyDescent="0.3">
      <c r="B8" s="331" t="s">
        <v>5892</v>
      </c>
      <c r="C8" s="331"/>
      <c r="D8" s="331"/>
      <c r="E8" s="607">
        <f>VLOOKUP($Q$3,BD_Clientes,7,FALSE)</f>
        <v>969934305</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eaponte@ciolimanorte.com / jcano@ciolimanorte.com / joao.rinc.oftec@gmail.com</v>
      </c>
      <c r="E9" s="607"/>
      <c r="F9" s="607"/>
      <c r="G9" s="607"/>
      <c r="H9" s="607"/>
      <c r="I9" s="607"/>
      <c r="J9" s="346" t="s">
        <v>5915</v>
      </c>
      <c r="K9" s="346"/>
      <c r="L9" s="428">
        <v>982429895</v>
      </c>
      <c r="M9" s="343"/>
      <c r="N9" s="343"/>
    </row>
    <row r="10" spans="2:20" ht="40.5" customHeight="1" x14ac:dyDescent="0.3">
      <c r="B10" s="346" t="s">
        <v>2504</v>
      </c>
      <c r="C10" s="346"/>
      <c r="D10" s="435"/>
      <c r="E10" s="605">
        <v>46002</v>
      </c>
      <c r="F10" s="605"/>
      <c r="G10" s="605"/>
      <c r="H10" s="605"/>
      <c r="I10" s="605"/>
      <c r="J10" s="346" t="s">
        <v>2507</v>
      </c>
      <c r="K10" s="346"/>
      <c r="L10" s="606">
        <v>46002</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602" t="s">
        <v>4014</v>
      </c>
      <c r="C28" s="602"/>
      <c r="D28" s="602"/>
      <c r="E28" s="602"/>
      <c r="F28" s="602"/>
      <c r="G28" s="602"/>
      <c r="H28" s="602"/>
      <c r="I28" s="602"/>
      <c r="J28" s="602"/>
      <c r="K28" s="602"/>
      <c r="L28" s="602"/>
      <c r="M28" s="602"/>
      <c r="N28" s="602"/>
      <c r="O28" s="336"/>
      <c r="P28" s="406"/>
      <c r="Q28" s="327"/>
      <c r="R28" s="327"/>
      <c r="S28" s="327"/>
      <c r="T28" s="327"/>
      <c r="U28" s="327"/>
      <c r="V28" s="327"/>
      <c r="W28" s="327"/>
      <c r="X28" s="327"/>
      <c r="Y28" s="327"/>
    </row>
    <row r="29" spans="2:25" s="322" customFormat="1" ht="123.6" customHeight="1" x14ac:dyDescent="0.3">
      <c r="B29" s="590" t="s">
        <v>6361</v>
      </c>
      <c r="C29" s="590"/>
      <c r="D29" s="590"/>
      <c r="E29" s="590"/>
      <c r="F29" s="590"/>
      <c r="G29" s="590"/>
      <c r="H29" s="590"/>
      <c r="I29" s="590"/>
      <c r="J29" s="590"/>
      <c r="K29" s="590"/>
      <c r="L29" s="590"/>
      <c r="M29" s="590"/>
      <c r="N29" s="590"/>
      <c r="O29" s="336"/>
      <c r="P29" s="406"/>
      <c r="Q29" s="327"/>
      <c r="R29" s="327"/>
      <c r="S29" s="327"/>
      <c r="T29" s="327"/>
      <c r="U29" s="327"/>
      <c r="V29" s="327"/>
      <c r="W29" s="327"/>
      <c r="X29" s="327"/>
      <c r="Y29" s="327"/>
    </row>
    <row r="30" spans="2:25" s="322" customFormat="1" ht="109.5" customHeight="1" x14ac:dyDescent="0.3">
      <c r="B30" s="584" t="s">
        <v>6206</v>
      </c>
      <c r="C30" s="584"/>
      <c r="D30" s="584"/>
      <c r="E30" s="584"/>
      <c r="F30" s="584"/>
      <c r="G30" s="584"/>
      <c r="H30" s="584"/>
      <c r="I30" s="584"/>
      <c r="J30" s="584"/>
      <c r="K30" s="584"/>
      <c r="L30" s="584"/>
      <c r="M30" s="584"/>
      <c r="N30" s="584"/>
      <c r="O30" s="336"/>
      <c r="P30" s="406"/>
      <c r="Q30" s="327"/>
      <c r="R30" s="327"/>
      <c r="S30" s="327"/>
      <c r="T30" s="327"/>
      <c r="U30" s="327"/>
      <c r="V30" s="327"/>
      <c r="W30" s="327"/>
      <c r="X30" s="327"/>
      <c r="Y30" s="327"/>
    </row>
    <row r="31" spans="2:25" s="322" customFormat="1" ht="87.75" customHeight="1" x14ac:dyDescent="0.3">
      <c r="B31" s="586" t="s">
        <v>5898</v>
      </c>
      <c r="C31" s="586"/>
      <c r="D31" s="586"/>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0" t="s">
        <v>4017</v>
      </c>
      <c r="C32" s="590"/>
      <c r="D32" s="590"/>
      <c r="E32" s="590"/>
      <c r="F32" s="590"/>
      <c r="G32" s="590"/>
      <c r="H32" s="590"/>
      <c r="I32" s="590"/>
      <c r="J32" s="590"/>
      <c r="K32" s="590"/>
      <c r="L32" s="590"/>
      <c r="M32" s="590"/>
      <c r="N32" s="590"/>
      <c r="O32" s="270"/>
      <c r="P32" s="404"/>
      <c r="Q32" s="292"/>
      <c r="R32" s="292"/>
      <c r="S32" s="292"/>
      <c r="T32" s="292"/>
      <c r="U32" s="292"/>
      <c r="V32" s="292"/>
      <c r="W32" s="292"/>
      <c r="X32" s="292"/>
      <c r="Y32" s="292"/>
    </row>
    <row r="33" spans="2:25" ht="79.5" customHeight="1" x14ac:dyDescent="0.3">
      <c r="B33" s="590" t="s">
        <v>5900</v>
      </c>
      <c r="C33" s="590"/>
      <c r="D33" s="590"/>
      <c r="E33" s="590"/>
      <c r="F33" s="590"/>
      <c r="G33" s="590"/>
      <c r="H33" s="590"/>
      <c r="I33" s="590"/>
      <c r="J33" s="590"/>
      <c r="K33" s="590"/>
      <c r="L33" s="590"/>
      <c r="M33" s="590"/>
      <c r="N33" s="590"/>
      <c r="O33" s="270"/>
      <c r="P33" s="404"/>
      <c r="Q33" s="292"/>
      <c r="R33" s="292"/>
      <c r="S33" s="292"/>
      <c r="T33" s="292"/>
      <c r="U33" s="292"/>
      <c r="V33" s="292"/>
      <c r="W33" s="292"/>
      <c r="X33" s="292"/>
      <c r="Y33" s="292"/>
    </row>
    <row r="34" spans="2:25" s="322" customFormat="1" ht="82.5" customHeight="1" x14ac:dyDescent="0.3">
      <c r="B34" s="589" t="s">
        <v>5901</v>
      </c>
      <c r="C34" s="589"/>
      <c r="D34" s="589"/>
      <c r="E34" s="589"/>
      <c r="F34" s="589"/>
      <c r="G34" s="589"/>
      <c r="H34" s="589"/>
      <c r="I34" s="589"/>
      <c r="J34" s="589"/>
      <c r="K34" s="589"/>
      <c r="L34" s="589"/>
      <c r="M34" s="589"/>
      <c r="N34" s="589"/>
      <c r="O34" s="323"/>
      <c r="P34" s="324"/>
    </row>
    <row r="35" spans="2:25" s="322" customFormat="1" ht="147.6" customHeight="1" x14ac:dyDescent="0.3">
      <c r="B35" s="590" t="s">
        <v>5907</v>
      </c>
      <c r="C35" s="590"/>
      <c r="D35" s="590"/>
      <c r="E35" s="590"/>
      <c r="F35" s="590"/>
      <c r="G35" s="590"/>
      <c r="H35" s="590"/>
      <c r="I35" s="590"/>
      <c r="J35" s="590"/>
      <c r="K35" s="590"/>
      <c r="L35" s="590"/>
      <c r="M35" s="590"/>
      <c r="N35" s="590"/>
      <c r="O35" s="323"/>
      <c r="P35" s="324"/>
      <c r="Q35" s="325"/>
      <c r="R35" s="326"/>
    </row>
    <row r="36" spans="2:25" s="322" customFormat="1" ht="45.6" customHeight="1" x14ac:dyDescent="0.3">
      <c r="B36" s="590" t="s">
        <v>4015</v>
      </c>
      <c r="C36" s="590"/>
      <c r="D36" s="590"/>
      <c r="E36" s="590"/>
      <c r="F36" s="590"/>
      <c r="G36" s="590"/>
      <c r="H36" s="590"/>
      <c r="I36" s="590"/>
      <c r="J36" s="590"/>
      <c r="K36" s="590"/>
      <c r="L36" s="590"/>
      <c r="M36" s="590"/>
      <c r="N36" s="590"/>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591" t="s">
        <v>2477</v>
      </c>
      <c r="C43" s="591"/>
      <c r="D43" s="591"/>
      <c r="E43" s="591"/>
      <c r="F43" s="591"/>
      <c r="G43" s="591"/>
      <c r="H43" s="591"/>
      <c r="I43" s="591"/>
      <c r="J43" s="591"/>
      <c r="K43" s="591"/>
      <c r="L43" s="591"/>
      <c r="M43" s="591"/>
      <c r="N43" s="591"/>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0" t="s">
        <v>5906</v>
      </c>
      <c r="C56" s="590"/>
      <c r="D56" s="590"/>
      <c r="E56" s="590"/>
      <c r="F56" s="590"/>
      <c r="G56" s="590"/>
      <c r="H56" s="590"/>
      <c r="I56" s="590"/>
      <c r="J56" s="590"/>
      <c r="K56" s="590"/>
      <c r="L56" s="590"/>
      <c r="M56" s="590"/>
      <c r="N56" s="590"/>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4"/>
      <c r="C64" s="584"/>
      <c r="D64" s="584"/>
      <c r="E64" s="584"/>
      <c r="M64" s="585"/>
      <c r="N64" s="585"/>
      <c r="Q64" s="332"/>
      <c r="R64" s="332"/>
    </row>
    <row r="65" spans="2:14" ht="51" customHeight="1" x14ac:dyDescent="0.3">
      <c r="B65" s="586" t="s">
        <v>5903</v>
      </c>
      <c r="C65" s="586"/>
      <c r="D65" s="586"/>
      <c r="E65" s="330"/>
      <c r="F65" s="330"/>
      <c r="G65" s="431"/>
      <c r="H65" s="431"/>
      <c r="I65" s="409"/>
      <c r="J65" s="409"/>
      <c r="K65" s="409"/>
      <c r="L65" s="409"/>
      <c r="M65" s="587" t="s">
        <v>2485</v>
      </c>
      <c r="N65" s="587"/>
    </row>
  </sheetData>
  <mergeCells count="40">
    <mergeCell ref="P5:T5"/>
    <mergeCell ref="D6:I6"/>
    <mergeCell ref="P6:T6"/>
    <mergeCell ref="E10:I10"/>
    <mergeCell ref="L10:N10"/>
    <mergeCell ref="P7:T7"/>
    <mergeCell ref="E8:I8"/>
    <mergeCell ref="D9:I9"/>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C20:I20"/>
    <mergeCell ref="C21:I21"/>
    <mergeCell ref="C22:I22"/>
    <mergeCell ref="C23:I23"/>
    <mergeCell ref="B31:D31"/>
    <mergeCell ref="B32:N32"/>
    <mergeCell ref="B64:E64"/>
    <mergeCell ref="M64:N64"/>
    <mergeCell ref="B65:D65"/>
    <mergeCell ref="M65:N65"/>
    <mergeCell ref="B33:N33"/>
    <mergeCell ref="B34:N34"/>
    <mergeCell ref="B35:N35"/>
    <mergeCell ref="B36:N36"/>
    <mergeCell ref="B43:N43"/>
    <mergeCell ref="B56:N56"/>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18</v>
      </c>
      <c r="H3" s="626"/>
      <c r="I3" s="626"/>
      <c r="J3" s="626"/>
      <c r="K3" s="626"/>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SISTEMA Y GESTIÓN DE INGENIERÍA PERÚ S.A.C.</v>
      </c>
      <c r="E5" s="607"/>
      <c r="F5" s="607"/>
      <c r="G5" s="607"/>
      <c r="H5" s="607"/>
      <c r="I5" s="607"/>
      <c r="J5" s="344" t="s">
        <v>5893</v>
      </c>
      <c r="L5" s="628" t="str">
        <f>VLOOKUP($Q$3,BD_Clientes,9,FALSE)</f>
        <v>Mejoramiento y ampliación del sistema de agua potable y alcantarillado de los sectores 353 y 360 y nuevas habitaciones esquema integral Carabayllo - Sectores 352, 355, 356, 357, 358</v>
      </c>
      <c r="M5" s="628"/>
      <c r="N5" s="628"/>
      <c r="P5" s="626">
        <v>222</v>
      </c>
      <c r="Q5" s="626"/>
      <c r="R5" s="626"/>
      <c r="S5" s="626"/>
      <c r="T5" s="626"/>
    </row>
    <row r="6" spans="2:20" ht="24" customHeight="1" x14ac:dyDescent="0.3">
      <c r="B6" s="331" t="s">
        <v>5891</v>
      </c>
      <c r="C6" s="331"/>
      <c r="D6" s="607">
        <f>VLOOKUP($Q$3,BD_Clientes,3,FALSE)</f>
        <v>20611630370</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Winnie Allison Ñahui Cervantes</v>
      </c>
      <c r="E7" s="607"/>
      <c r="F7" s="607"/>
      <c r="G7" s="607"/>
      <c r="H7" s="607"/>
      <c r="I7" s="607"/>
      <c r="J7" s="344" t="s">
        <v>5894</v>
      </c>
      <c r="L7" s="628" t="str">
        <f>VLOOKUP($Q$3,BD_Clientes,10,FALSE)</f>
        <v>Carabayllo - Lima</v>
      </c>
      <c r="M7" s="628"/>
      <c r="N7" s="628"/>
      <c r="P7" s="627">
        <v>222</v>
      </c>
      <c r="Q7" s="627"/>
      <c r="R7" s="627"/>
      <c r="S7" s="627"/>
      <c r="T7" s="627"/>
    </row>
    <row r="8" spans="2:20" ht="34.5" customHeight="1" x14ac:dyDescent="0.3">
      <c r="B8" s="331" t="s">
        <v>5892</v>
      </c>
      <c r="C8" s="331"/>
      <c r="D8" s="331"/>
      <c r="E8" s="607">
        <f>VLOOKUP($Q$3,BD_Clientes,7,FALSE)</f>
        <v>951714829</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supervisorqc@sygingenieria.pe</v>
      </c>
      <c r="E9" s="607"/>
      <c r="F9" s="607"/>
      <c r="G9" s="607"/>
      <c r="H9" s="607"/>
      <c r="I9" s="607"/>
      <c r="J9" s="346" t="s">
        <v>5915</v>
      </c>
      <c r="K9" s="346"/>
      <c r="L9" s="428">
        <v>982429895</v>
      </c>
      <c r="M9" s="343"/>
      <c r="N9" s="343"/>
    </row>
    <row r="10" spans="2:20" ht="40.5" customHeight="1" x14ac:dyDescent="0.3">
      <c r="B10" s="346" t="s">
        <v>2504</v>
      </c>
      <c r="C10" s="346"/>
      <c r="D10" s="435"/>
      <c r="E10" s="605">
        <v>46028</v>
      </c>
      <c r="F10" s="605"/>
      <c r="G10" s="605"/>
      <c r="H10" s="605"/>
      <c r="I10" s="605"/>
      <c r="J10" s="346" t="s">
        <v>2507</v>
      </c>
      <c r="K10" s="346"/>
      <c r="L10" s="606">
        <v>46028</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593" t="s">
        <v>3105</v>
      </c>
      <c r="M18" s="594"/>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23.6" customHeight="1" x14ac:dyDescent="0.3">
      <c r="B23" s="590" t="s">
        <v>6482</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109.5" customHeight="1" x14ac:dyDescent="0.3">
      <c r="B24" s="584" t="s">
        <v>6194</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124.5" customHeight="1" x14ac:dyDescent="0.3">
      <c r="B25" s="586" t="s">
        <v>5898</v>
      </c>
      <c r="C25" s="586"/>
      <c r="D25" s="586"/>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0" t="s">
        <v>4017</v>
      </c>
      <c r="C26" s="590"/>
      <c r="D26" s="590"/>
      <c r="E26" s="590"/>
      <c r="F26" s="590"/>
      <c r="G26" s="590"/>
      <c r="H26" s="590"/>
      <c r="I26" s="590"/>
      <c r="J26" s="590"/>
      <c r="K26" s="590"/>
      <c r="L26" s="590"/>
      <c r="M26" s="590"/>
      <c r="N26" s="590"/>
      <c r="O26" s="270"/>
      <c r="P26" s="404"/>
      <c r="Q26" s="292"/>
      <c r="R26" s="292"/>
      <c r="S26" s="292"/>
      <c r="T26" s="292"/>
      <c r="U26" s="292"/>
      <c r="V26" s="292"/>
      <c r="W26" s="292"/>
      <c r="X26" s="292"/>
      <c r="Y26" s="292"/>
    </row>
    <row r="27" spans="2:25" ht="79.5" customHeight="1" x14ac:dyDescent="0.3">
      <c r="B27" s="590" t="s">
        <v>5900</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s="322" customFormat="1" ht="82.5" customHeight="1" x14ac:dyDescent="0.3">
      <c r="B28" s="589" t="s">
        <v>5901</v>
      </c>
      <c r="C28" s="589"/>
      <c r="D28" s="589"/>
      <c r="E28" s="589"/>
      <c r="F28" s="589"/>
      <c r="G28" s="589"/>
      <c r="H28" s="589"/>
      <c r="I28" s="589"/>
      <c r="J28" s="589"/>
      <c r="K28" s="589"/>
      <c r="L28" s="589"/>
      <c r="M28" s="589"/>
      <c r="N28" s="589"/>
      <c r="O28" s="323"/>
      <c r="P28" s="324"/>
    </row>
    <row r="29" spans="2:25" s="322" customFormat="1" ht="147.6" customHeight="1" x14ac:dyDescent="0.3">
      <c r="B29" s="590" t="s">
        <v>5907</v>
      </c>
      <c r="C29" s="590"/>
      <c r="D29" s="590"/>
      <c r="E29" s="590"/>
      <c r="F29" s="590"/>
      <c r="G29" s="590"/>
      <c r="H29" s="590"/>
      <c r="I29" s="590"/>
      <c r="J29" s="590"/>
      <c r="K29" s="590"/>
      <c r="L29" s="590"/>
      <c r="M29" s="590"/>
      <c r="N29" s="590"/>
      <c r="O29" s="323"/>
      <c r="P29" s="324"/>
      <c r="Q29" s="325"/>
      <c r="R29" s="326"/>
    </row>
    <row r="30" spans="2:25" s="322" customFormat="1" ht="45.6" customHeight="1" x14ac:dyDescent="0.3">
      <c r="B30" s="590" t="s">
        <v>4015</v>
      </c>
      <c r="C30" s="590"/>
      <c r="D30" s="590"/>
      <c r="E30" s="590"/>
      <c r="F30" s="590"/>
      <c r="G30" s="590"/>
      <c r="H30" s="590"/>
      <c r="I30" s="590"/>
      <c r="J30" s="590"/>
      <c r="K30" s="590"/>
      <c r="L30" s="590"/>
      <c r="M30" s="590"/>
      <c r="N30" s="590"/>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591" t="s">
        <v>2477</v>
      </c>
      <c r="C37" s="591"/>
      <c r="D37" s="591"/>
      <c r="E37" s="591"/>
      <c r="F37" s="591"/>
      <c r="G37" s="591"/>
      <c r="H37" s="591"/>
      <c r="I37" s="591"/>
      <c r="J37" s="591"/>
      <c r="K37" s="591"/>
      <c r="L37" s="591"/>
      <c r="M37" s="591"/>
      <c r="N37" s="591"/>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0" t="s">
        <v>5906</v>
      </c>
      <c r="C50" s="590"/>
      <c r="D50" s="590"/>
      <c r="E50" s="590"/>
      <c r="F50" s="590"/>
      <c r="G50" s="590"/>
      <c r="H50" s="590"/>
      <c r="I50" s="590"/>
      <c r="J50" s="590"/>
      <c r="K50" s="590"/>
      <c r="L50" s="590"/>
      <c r="M50" s="590"/>
      <c r="N50" s="590"/>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4"/>
      <c r="C58" s="584"/>
      <c r="D58" s="584"/>
      <c r="E58" s="584"/>
      <c r="M58" s="585"/>
      <c r="N58" s="585"/>
      <c r="Q58" s="332"/>
      <c r="R58" s="332"/>
    </row>
    <row r="59" spans="2:18" ht="51" customHeight="1" x14ac:dyDescent="0.3">
      <c r="B59" s="586" t="s">
        <v>5903</v>
      </c>
      <c r="C59" s="586"/>
      <c r="D59" s="586"/>
      <c r="E59" s="330"/>
      <c r="F59" s="330"/>
      <c r="G59" s="431"/>
      <c r="H59" s="431"/>
      <c r="I59" s="409"/>
      <c r="J59" s="409"/>
      <c r="K59" s="409"/>
      <c r="L59" s="409"/>
      <c r="M59" s="587" t="s">
        <v>2485</v>
      </c>
      <c r="N59" s="587"/>
    </row>
  </sheetData>
  <mergeCells count="34">
    <mergeCell ref="B58:E58"/>
    <mergeCell ref="M58:N58"/>
    <mergeCell ref="B59:D59"/>
    <mergeCell ref="M59:N59"/>
    <mergeCell ref="B27:N27"/>
    <mergeCell ref="B28:N28"/>
    <mergeCell ref="B29:N29"/>
    <mergeCell ref="B30:N30"/>
    <mergeCell ref="B37:N37"/>
    <mergeCell ref="B50:N50"/>
    <mergeCell ref="B26:N26"/>
    <mergeCell ref="B13:N14"/>
    <mergeCell ref="C16:I16"/>
    <mergeCell ref="L18:M18"/>
    <mergeCell ref="L19:M19"/>
    <mergeCell ref="L20:M20"/>
    <mergeCell ref="B22:N22"/>
    <mergeCell ref="B23:N23"/>
    <mergeCell ref="B24:N24"/>
    <mergeCell ref="B25:D25"/>
    <mergeCell ref="C17:I17"/>
    <mergeCell ref="G3:K3"/>
    <mergeCell ref="D5:I5"/>
    <mergeCell ref="L5:N5"/>
    <mergeCell ref="D7:I7"/>
    <mergeCell ref="L7:N7"/>
    <mergeCell ref="P5:T5"/>
    <mergeCell ref="D6:I6"/>
    <mergeCell ref="P6:T6"/>
    <mergeCell ref="E10:I10"/>
    <mergeCell ref="L10:N10"/>
    <mergeCell ref="P7:T7"/>
    <mergeCell ref="E8:I8"/>
    <mergeCell ref="D9:I9"/>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18"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12"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2" customHeight="1" x14ac:dyDescent="0.3">
      <c r="B10" s="346" t="s">
        <v>2504</v>
      </c>
      <c r="C10" s="346"/>
      <c r="D10" s="435"/>
      <c r="E10" s="605">
        <v>45973</v>
      </c>
      <c r="F10" s="605"/>
      <c r="G10" s="605"/>
      <c r="H10" s="605"/>
      <c r="I10" s="605"/>
      <c r="J10" s="346" t="s">
        <v>2507</v>
      </c>
      <c r="K10" s="346"/>
      <c r="L10" s="606">
        <v>45973</v>
      </c>
      <c r="M10" s="606"/>
      <c r="N10" s="606"/>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2"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15" s="269" customFormat="1" ht="20.100000000000001" customHeight="1" x14ac:dyDescent="0.3">
      <c r="B17" s="477"/>
      <c r="C17" s="637" t="s">
        <v>6223</v>
      </c>
      <c r="D17" s="637"/>
      <c r="E17" s="637"/>
      <c r="F17" s="637"/>
      <c r="G17" s="637"/>
      <c r="H17" s="637"/>
      <c r="I17" s="637"/>
      <c r="J17" s="478"/>
      <c r="K17" s="478"/>
      <c r="L17" s="479"/>
      <c r="M17" s="478"/>
      <c r="N17" s="480"/>
      <c r="O17" s="321"/>
    </row>
    <row r="18" spans="2:15" s="269" customFormat="1" ht="21"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53" t="str">
        <f>VLOOKUP(B19,ENS.!$B$5:$H$167,2,FALSE)</f>
        <v>California Bearing Ratio (CBR)</v>
      </c>
      <c r="D19" s="654"/>
      <c r="E19" s="654"/>
      <c r="F19" s="654"/>
      <c r="G19" s="654"/>
      <c r="H19" s="654"/>
      <c r="I19" s="655"/>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53" t="str">
        <f>VLOOKUP(B23,ENS.!$B$5:$H$167,2,FALSE)</f>
        <v xml:space="preserve">Límite líquido y Límite Plástico del Suelo </v>
      </c>
      <c r="D23" s="654"/>
      <c r="E23" s="654"/>
      <c r="F23" s="654"/>
      <c r="G23" s="654"/>
      <c r="H23" s="654"/>
      <c r="I23" s="655"/>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53" t="str">
        <f>VLOOKUP(B24,ENS.!$B$5:$H$167,2,FALSE)</f>
        <v>Inalterabilidad Agregado Grueso con Sulfato de Magnesio.</v>
      </c>
      <c r="D24" s="654"/>
      <c r="E24" s="654"/>
      <c r="F24" s="654"/>
      <c r="G24" s="654"/>
      <c r="H24" s="654"/>
      <c r="I24" s="655"/>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53" t="str">
        <f>VLOOKUP(B25,ENS.!$B$5:$H$167,2,FALSE)</f>
        <v>Inalterabilidad Agregado Fino con Sulfato de Magnesio.</v>
      </c>
      <c r="D25" s="654"/>
      <c r="E25" s="654"/>
      <c r="F25" s="654"/>
      <c r="G25" s="654"/>
      <c r="H25" s="654"/>
      <c r="I25" s="655"/>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53" t="str">
        <f>VLOOKUP(B26,ENS.!$B$5:$H$167,2,FALSE)</f>
        <v>Abrasión los Ángeles de agregado grueso de tamaño pequeño.</v>
      </c>
      <c r="D26" s="654"/>
      <c r="E26" s="654"/>
      <c r="F26" s="654"/>
      <c r="G26" s="654"/>
      <c r="H26" s="654"/>
      <c r="I26" s="655"/>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53" t="str">
        <f>VLOOKUP(B27,ENS.!$B$5:$H$167,2,FALSE)</f>
        <v>Terrones de arcilla y partículas friables, Fino o grueso.</v>
      </c>
      <c r="D27" s="654"/>
      <c r="E27" s="654"/>
      <c r="F27" s="654"/>
      <c r="G27" s="654"/>
      <c r="H27" s="654"/>
      <c r="I27" s="655"/>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53" t="str">
        <f>VLOOKUP(B28,ENS.!$B$5:$H$167,2,FALSE)</f>
        <v>Equivalente de arena</v>
      </c>
      <c r="D28" s="654"/>
      <c r="E28" s="654"/>
      <c r="F28" s="654"/>
      <c r="G28" s="654"/>
      <c r="H28" s="654"/>
      <c r="I28" s="655"/>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53" t="str">
        <f>VLOOKUP(B29,ENS.!$B$5:$H$167,2,FALSE)</f>
        <v>Valor de azul de metileno.</v>
      </c>
      <c r="D29" s="654"/>
      <c r="E29" s="654"/>
      <c r="F29" s="654"/>
      <c r="G29" s="654"/>
      <c r="H29" s="654"/>
      <c r="I29" s="655"/>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53" t="str">
        <f>VLOOKUP(B30,ENS.!$B$5:$H$167,2,FALSE)</f>
        <v>Partículas planas y alargadas en agregado grueso</v>
      </c>
      <c r="D30" s="654"/>
      <c r="E30" s="654"/>
      <c r="F30" s="654"/>
      <c r="G30" s="654"/>
      <c r="H30" s="654"/>
      <c r="I30" s="655"/>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53" t="str">
        <f>VLOOKUP(B31,ENS.!$B$5:$H$167,2,FALSE)</f>
        <v xml:space="preserve">Porcentaje de Caras fracturadas en agregado grueso </v>
      </c>
      <c r="D31" s="654"/>
      <c r="E31" s="654"/>
      <c r="F31" s="654"/>
      <c r="G31" s="654"/>
      <c r="H31" s="654"/>
      <c r="I31" s="655"/>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53" t="str">
        <f>VLOOKUP(B32,ENS.!$B$5:$H$167,2,FALSE)</f>
        <v>Angularidad del agregado fino.</v>
      </c>
      <c r="D32" s="654"/>
      <c r="E32" s="654"/>
      <c r="F32" s="654"/>
      <c r="G32" s="654"/>
      <c r="H32" s="654"/>
      <c r="I32" s="655"/>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53" t="str">
        <f>VLOOKUP(B33,ENS.!$B$5:$H$167,2,FALSE)</f>
        <v>Gravedad específica y absorción del agregado fino</v>
      </c>
      <c r="D33" s="654"/>
      <c r="E33" s="654"/>
      <c r="F33" s="654"/>
      <c r="G33" s="654"/>
      <c r="H33" s="654"/>
      <c r="I33" s="655"/>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53" t="str">
        <f>VLOOKUP(B34,ENS.!$B$5:$H$167,2,FALSE)</f>
        <v>Contenido Sales solubles, fino o grueso.</v>
      </c>
      <c r="D34" s="654"/>
      <c r="E34" s="654"/>
      <c r="F34" s="654"/>
      <c r="G34" s="654"/>
      <c r="H34" s="654"/>
      <c r="I34" s="655"/>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0" t="s">
        <v>6224</v>
      </c>
      <c r="D35" s="691"/>
      <c r="E35" s="691"/>
      <c r="F35" s="691"/>
      <c r="G35" s="691"/>
      <c r="H35" s="691"/>
      <c r="I35" s="692"/>
      <c r="J35" s="496"/>
      <c r="K35" s="496"/>
      <c r="L35" s="497"/>
      <c r="M35" s="496"/>
      <c r="N35" s="498"/>
      <c r="O35" s="321"/>
    </row>
    <row r="36" spans="2:15" s="269" customFormat="1" ht="21" customHeight="1" x14ac:dyDescent="0.3">
      <c r="B36" s="444" t="s">
        <v>2128</v>
      </c>
      <c r="C36" s="653" t="str">
        <f>VLOOKUP(B36,ENS.!$B$5:$H$167,2,FALSE)</f>
        <v>Análisis granulométrico por tamizado en agregado</v>
      </c>
      <c r="D36" s="654"/>
      <c r="E36" s="654"/>
      <c r="F36" s="654"/>
      <c r="G36" s="654"/>
      <c r="H36" s="654"/>
      <c r="I36" s="655"/>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53" t="str">
        <f>VLOOKUP(B37,ENS.!$B$5:$H$167,2,FALSE)</f>
        <v>California Bearing Ratio (CBR)</v>
      </c>
      <c r="D37" s="654"/>
      <c r="E37" s="654"/>
      <c r="F37" s="654"/>
      <c r="G37" s="654"/>
      <c r="H37" s="654"/>
      <c r="I37" s="655"/>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53" t="str">
        <f>VLOOKUP(B38,ENS.!$B$5:$H$167,2,FALSE)</f>
        <v xml:space="preserve">Próctor modificado </v>
      </c>
      <c r="D38" s="654"/>
      <c r="E38" s="654"/>
      <c r="F38" s="654"/>
      <c r="G38" s="654"/>
      <c r="H38" s="654"/>
      <c r="I38" s="655"/>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53" t="str">
        <f>VLOOKUP(B39,ENS.!$B$5:$H$167,2,FALSE)</f>
        <v>Gravedad específica de los sólidos del suelo.</v>
      </c>
      <c r="D39" s="654"/>
      <c r="E39" s="654"/>
      <c r="F39" s="654"/>
      <c r="G39" s="654"/>
      <c r="H39" s="654"/>
      <c r="I39" s="655"/>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53" t="str">
        <f>VLOOKUP(B40,ENS.!$B$5:$H$167,2,FALSE)</f>
        <v>Gravedad especifica y absorción de agregado grueso</v>
      </c>
      <c r="D40" s="654"/>
      <c r="E40" s="654"/>
      <c r="F40" s="654"/>
      <c r="G40" s="654"/>
      <c r="H40" s="654"/>
      <c r="I40" s="655"/>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53" t="str">
        <f>VLOOKUP(B41,ENS.!$B$5:$H$167,2,FALSE)</f>
        <v xml:space="preserve">Límite líquido y Límite Plástico del Suelo </v>
      </c>
      <c r="D41" s="654"/>
      <c r="E41" s="654"/>
      <c r="F41" s="654"/>
      <c r="G41" s="654"/>
      <c r="H41" s="654"/>
      <c r="I41" s="655"/>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53" t="str">
        <f>VLOOKUP(B42,ENS.!$B$5:$H$167,2,FALSE)</f>
        <v>Inalterabilidad Agregado Grueso con Sulfato de Magnesio.</v>
      </c>
      <c r="D42" s="654"/>
      <c r="E42" s="654"/>
      <c r="F42" s="654"/>
      <c r="G42" s="654"/>
      <c r="H42" s="654"/>
      <c r="I42" s="655"/>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53" t="str">
        <f>VLOOKUP(B43,ENS.!$B$5:$H$167,2,FALSE)</f>
        <v>Inalterabilidad Agregado Fino con Sulfato de Magnesio.</v>
      </c>
      <c r="D43" s="654"/>
      <c r="E43" s="654"/>
      <c r="F43" s="654"/>
      <c r="G43" s="654"/>
      <c r="H43" s="654"/>
      <c r="I43" s="655"/>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53" t="str">
        <f>VLOOKUP(B44,ENS.!$B$5:$H$167,2,FALSE)</f>
        <v>Abrasión los Ángeles de agregado grueso de tamaño pequeño.</v>
      </c>
      <c r="D44" s="654"/>
      <c r="E44" s="654"/>
      <c r="F44" s="654"/>
      <c r="G44" s="654"/>
      <c r="H44" s="654"/>
      <c r="I44" s="655"/>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53" t="str">
        <f>VLOOKUP(B45,ENS.!$B$5:$H$167,2,FALSE)</f>
        <v>Terrones de arcilla y partículas friables, Fino o grueso.</v>
      </c>
      <c r="D45" s="654"/>
      <c r="E45" s="654"/>
      <c r="F45" s="654"/>
      <c r="G45" s="654"/>
      <c r="H45" s="654"/>
      <c r="I45" s="655"/>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53" t="str">
        <f>VLOOKUP(B46,ENS.!$B$5:$H$167,2,FALSE)</f>
        <v>Equivalente de arena</v>
      </c>
      <c r="D46" s="654"/>
      <c r="E46" s="654"/>
      <c r="F46" s="654"/>
      <c r="G46" s="654"/>
      <c r="H46" s="654"/>
      <c r="I46" s="655"/>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53" t="str">
        <f>VLOOKUP(B47,ENS.!$B$5:$H$167,2,FALSE)</f>
        <v>Valor de azul de metileno.</v>
      </c>
      <c r="D47" s="654"/>
      <c r="E47" s="654"/>
      <c r="F47" s="654"/>
      <c r="G47" s="654"/>
      <c r="H47" s="654"/>
      <c r="I47" s="655"/>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53" t="str">
        <f>VLOOKUP(B48,ENS.!$B$5:$H$167,2,FALSE)</f>
        <v>Partículas planas y alargadas en agregado grueso</v>
      </c>
      <c r="D48" s="654"/>
      <c r="E48" s="654"/>
      <c r="F48" s="654"/>
      <c r="G48" s="654"/>
      <c r="H48" s="654"/>
      <c r="I48" s="655"/>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53" t="str">
        <f>VLOOKUP(B49,ENS.!$B$5:$H$167,2,FALSE)</f>
        <v xml:space="preserve">Porcentaje de Caras fracturadas en agregado grueso </v>
      </c>
      <c r="D49" s="654"/>
      <c r="E49" s="654"/>
      <c r="F49" s="654"/>
      <c r="G49" s="654"/>
      <c r="H49" s="654"/>
      <c r="I49" s="655"/>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53" t="str">
        <f>VLOOKUP(B50,ENS.!$B$5:$H$167,2,FALSE)</f>
        <v>Angularidad del agregado fino.</v>
      </c>
      <c r="D50" s="654"/>
      <c r="E50" s="654"/>
      <c r="F50" s="654"/>
      <c r="G50" s="654"/>
      <c r="H50" s="654"/>
      <c r="I50" s="655"/>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53" t="str">
        <f>VLOOKUP(B51,ENS.!$B$5:$H$167,2,FALSE)</f>
        <v>Gravedad específica y absorción del agregado fino</v>
      </c>
      <c r="D51" s="654"/>
      <c r="E51" s="654"/>
      <c r="F51" s="654"/>
      <c r="G51" s="654"/>
      <c r="H51" s="654"/>
      <c r="I51" s="655"/>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3" t="str">
        <f>VLOOKUP(B52,ENS.!$B$5:$H$167,2,FALSE)</f>
        <v>Contenido Sales solubles, fino o grueso.</v>
      </c>
      <c r="D52" s="693"/>
      <c r="E52" s="693"/>
      <c r="F52" s="693"/>
      <c r="G52" s="693"/>
      <c r="H52" s="693"/>
      <c r="I52" s="693"/>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62" t="s">
        <v>3105</v>
      </c>
      <c r="M53" s="663"/>
      <c r="N53" s="491">
        <f>SUM(N17:N52)</f>
        <v>5700</v>
      </c>
      <c r="O53" s="270"/>
      <c r="P53" s="404"/>
      <c r="Q53" s="169"/>
      <c r="S53" s="169"/>
      <c r="T53" s="169"/>
      <c r="U53" s="169"/>
      <c r="V53" s="169"/>
      <c r="W53" s="169"/>
      <c r="X53" s="169"/>
      <c r="Y53" s="169"/>
    </row>
    <row r="54" spans="2:25" ht="22.2" customHeight="1" x14ac:dyDescent="0.3">
      <c r="B54" s="586" t="s">
        <v>5898</v>
      </c>
      <c r="C54" s="586"/>
      <c r="D54" s="586"/>
      <c r="E54" s="169"/>
      <c r="F54" s="169"/>
      <c r="G54" s="169"/>
      <c r="H54" s="169"/>
      <c r="I54" s="169"/>
      <c r="J54" s="169"/>
      <c r="K54" s="169"/>
      <c r="L54" s="671" t="s">
        <v>2516</v>
      </c>
      <c r="M54" s="672"/>
      <c r="N54" s="491">
        <f>+N53*0.18</f>
        <v>1026</v>
      </c>
      <c r="O54" s="270"/>
      <c r="P54" s="404"/>
      <c r="Q54" s="169"/>
      <c r="R54" s="169"/>
      <c r="S54" s="169"/>
      <c r="T54" s="169"/>
      <c r="U54" s="169"/>
      <c r="V54" s="169"/>
      <c r="W54" s="169"/>
      <c r="X54" s="169"/>
      <c r="Y54" s="169"/>
    </row>
    <row r="55" spans="2:25" ht="22.2" customHeight="1" x14ac:dyDescent="0.3">
      <c r="B55" s="586"/>
      <c r="C55" s="586"/>
      <c r="D55" s="586"/>
      <c r="E55" s="169"/>
      <c r="F55" s="169"/>
      <c r="G55" s="169"/>
      <c r="H55" s="169"/>
      <c r="I55" s="169"/>
      <c r="J55" s="169"/>
      <c r="K55" s="169"/>
      <c r="L55" s="631" t="s">
        <v>5911</v>
      </c>
      <c r="M55" s="633"/>
      <c r="N55" s="492">
        <f>+N53+N54</f>
        <v>6726</v>
      </c>
      <c r="O55" s="270"/>
      <c r="P55" s="404"/>
      <c r="Q55" s="292"/>
      <c r="R55" s="292"/>
      <c r="S55" s="292"/>
      <c r="T55" s="292"/>
      <c r="U55" s="292"/>
      <c r="V55" s="292"/>
      <c r="W55" s="292"/>
      <c r="X55" s="292"/>
      <c r="Y55" s="292"/>
    </row>
    <row r="56" spans="2:25" ht="22.2" customHeight="1" x14ac:dyDescent="0.3">
      <c r="B56" s="586"/>
      <c r="C56" s="586"/>
      <c r="D56" s="586"/>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6" t="s">
        <v>6212</v>
      </c>
      <c r="C58" s="696"/>
      <c r="D58" s="696"/>
      <c r="E58" s="696"/>
      <c r="F58" s="696"/>
      <c r="G58" s="696"/>
      <c r="H58" s="696"/>
      <c r="I58" s="696"/>
      <c r="J58" s="696"/>
      <c r="K58" s="696"/>
      <c r="L58" s="696"/>
      <c r="M58" s="696"/>
      <c r="N58" s="696"/>
      <c r="O58" s="336"/>
      <c r="P58" s="406"/>
      <c r="Q58" s="327"/>
      <c r="R58" s="327"/>
      <c r="S58" s="327"/>
      <c r="T58" s="327"/>
      <c r="U58" s="327"/>
      <c r="V58" s="327"/>
      <c r="W58" s="327"/>
      <c r="X58" s="327"/>
      <c r="Y58" s="327"/>
    </row>
    <row r="59" spans="2:25" s="322" customFormat="1" ht="96.75" customHeight="1" x14ac:dyDescent="0.3">
      <c r="B59" s="697" t="s">
        <v>6225</v>
      </c>
      <c r="C59" s="697"/>
      <c r="D59" s="697"/>
      <c r="E59" s="697"/>
      <c r="F59" s="697"/>
      <c r="G59" s="697"/>
      <c r="H59" s="697"/>
      <c r="I59" s="697"/>
      <c r="J59" s="697"/>
      <c r="K59" s="697"/>
      <c r="L59" s="697"/>
      <c r="M59" s="697"/>
      <c r="N59" s="697"/>
      <c r="O59" s="336"/>
      <c r="P59" s="406"/>
      <c r="Q59" s="327"/>
      <c r="R59" s="327"/>
      <c r="S59" s="327"/>
      <c r="T59" s="327"/>
      <c r="U59" s="327"/>
      <c r="V59" s="327"/>
      <c r="W59" s="327"/>
      <c r="X59" s="327"/>
      <c r="Y59" s="327"/>
    </row>
    <row r="60" spans="2:25" s="322" customFormat="1" ht="74.25" customHeight="1" x14ac:dyDescent="0.3">
      <c r="B60" s="642" t="s">
        <v>6226</v>
      </c>
      <c r="C60" s="642"/>
      <c r="D60" s="642"/>
      <c r="E60" s="642"/>
      <c r="F60" s="642"/>
      <c r="G60" s="642"/>
      <c r="H60" s="642"/>
      <c r="I60" s="642"/>
      <c r="J60" s="642"/>
      <c r="K60" s="642"/>
      <c r="L60" s="642"/>
      <c r="M60" s="642"/>
      <c r="N60" s="642"/>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89" t="s">
        <v>6215</v>
      </c>
      <c r="C63" s="689"/>
      <c r="D63" s="689"/>
      <c r="E63" s="689"/>
      <c r="F63" s="689"/>
      <c r="G63" s="689"/>
      <c r="H63" s="689"/>
      <c r="I63" s="689"/>
      <c r="J63" s="689"/>
      <c r="K63" s="689"/>
      <c r="L63" s="689"/>
      <c r="M63" s="689"/>
      <c r="N63" s="689"/>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5" t="s">
        <v>2477</v>
      </c>
      <c r="C72" s="695"/>
      <c r="D72" s="695"/>
      <c r="E72" s="695"/>
      <c r="F72" s="695"/>
      <c r="G72" s="695"/>
      <c r="H72" s="695"/>
      <c r="I72" s="695"/>
      <c r="J72" s="695"/>
      <c r="K72" s="695"/>
      <c r="L72" s="695"/>
      <c r="M72" s="695"/>
      <c r="N72" s="695"/>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2"/>
      <c r="C93" s="642"/>
      <c r="D93" s="642"/>
      <c r="E93" s="642"/>
      <c r="F93" s="275"/>
      <c r="G93" s="275"/>
      <c r="H93" s="275"/>
      <c r="I93" s="275"/>
      <c r="J93" s="275"/>
      <c r="K93" s="275"/>
      <c r="L93" s="275"/>
      <c r="M93" s="694"/>
      <c r="N93" s="694"/>
      <c r="Q93" s="332"/>
      <c r="R93" s="332"/>
    </row>
    <row r="94" spans="2:18" ht="51" customHeight="1" x14ac:dyDescent="0.25">
      <c r="B94" s="698" t="s">
        <v>5903</v>
      </c>
      <c r="C94" s="698"/>
      <c r="D94" s="698"/>
      <c r="E94" s="493"/>
      <c r="F94" s="493"/>
      <c r="G94" s="297"/>
      <c r="H94" s="297"/>
      <c r="I94" s="248"/>
      <c r="J94" s="248"/>
      <c r="K94" s="248"/>
      <c r="L94" s="248"/>
      <c r="M94" s="699" t="s">
        <v>2485</v>
      </c>
      <c r="N94" s="699"/>
    </row>
  </sheetData>
  <mergeCells count="69">
    <mergeCell ref="C46:I46"/>
    <mergeCell ref="C47:I47"/>
    <mergeCell ref="C36:I36"/>
    <mergeCell ref="C37:I37"/>
    <mergeCell ref="C43:I43"/>
    <mergeCell ref="C44:I44"/>
    <mergeCell ref="C45:I45"/>
    <mergeCell ref="C42:I4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G3:K3"/>
    <mergeCell ref="D5:I5"/>
    <mergeCell ref="L5:N5"/>
    <mergeCell ref="D7:I7"/>
    <mergeCell ref="L7:N7"/>
    <mergeCell ref="P5:T5"/>
    <mergeCell ref="D6:I6"/>
    <mergeCell ref="P6:T6"/>
    <mergeCell ref="E10:I10"/>
    <mergeCell ref="L10:N10"/>
    <mergeCell ref="P7:T7"/>
    <mergeCell ref="E8:I8"/>
    <mergeCell ref="D9:I9"/>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607" t="str">
        <f>VLOOKUP($Q$3,BD_Clientes,2,FALSE)</f>
        <v>CONSORCIO LIMA NORTE</v>
      </c>
      <c r="E5" s="607"/>
      <c r="F5" s="607"/>
      <c r="G5" s="607"/>
      <c r="H5" s="607"/>
      <c r="I5" s="607"/>
      <c r="J5" s="344" t="s">
        <v>5893</v>
      </c>
      <c r="L5" s="628" t="str">
        <f>VLOOKUP($Q$3,BD_Clientes,9,FALSE)</f>
        <v>Mejoramiento y Ampliación del Sistema de Agua Potable y Alcantarillado de Los Sectores 359 y 360 y Nuevas Habilitaciones Esquema Integral de Carabayllo</v>
      </c>
      <c r="M5" s="628"/>
      <c r="N5" s="628"/>
      <c r="P5" s="626">
        <v>222</v>
      </c>
      <c r="Q5" s="626"/>
      <c r="R5" s="626"/>
      <c r="S5" s="626"/>
      <c r="T5" s="626"/>
    </row>
    <row r="6" spans="2:20" ht="24" customHeight="1" x14ac:dyDescent="0.3">
      <c r="B6" s="331" t="s">
        <v>5891</v>
      </c>
      <c r="C6" s="331"/>
      <c r="D6" s="607">
        <f>VLOOKUP($Q$3,BD_Clientes,3,FALSE)</f>
        <v>20614164833</v>
      </c>
      <c r="E6" s="607"/>
      <c r="F6" s="607"/>
      <c r="G6" s="607"/>
      <c r="H6" s="607"/>
      <c r="I6" s="607"/>
      <c r="J6" s="322"/>
      <c r="K6" s="343"/>
      <c r="L6" s="476"/>
      <c r="M6" s="476"/>
      <c r="N6" s="476"/>
      <c r="P6" s="629">
        <v>222</v>
      </c>
      <c r="Q6" s="629"/>
      <c r="R6" s="629"/>
      <c r="S6" s="629"/>
      <c r="T6" s="629"/>
    </row>
    <row r="7" spans="2:20" ht="26.25" customHeight="1" x14ac:dyDescent="0.3">
      <c r="B7" s="331" t="s">
        <v>2499</v>
      </c>
      <c r="C7" s="331"/>
      <c r="D7" s="607" t="str">
        <f>VLOOKUP($Q$3,BD_Clientes,5,FALSE)</f>
        <v xml:space="preserve">Ing. Erick Aponte / Joao Cano </v>
      </c>
      <c r="E7" s="607"/>
      <c r="F7" s="607"/>
      <c r="G7" s="607"/>
      <c r="H7" s="607"/>
      <c r="I7" s="607"/>
      <c r="J7" s="344" t="s">
        <v>5894</v>
      </c>
      <c r="L7" s="628" t="str">
        <f>VLOOKUP($Q$3,BD_Clientes,10,FALSE)</f>
        <v>Carabayllo - Lima</v>
      </c>
      <c r="M7" s="628"/>
      <c r="N7" s="628"/>
      <c r="P7" s="627">
        <v>222</v>
      </c>
      <c r="Q7" s="627"/>
      <c r="R7" s="627"/>
      <c r="S7" s="627"/>
      <c r="T7" s="627"/>
    </row>
    <row r="8" spans="2:20" ht="33.75" customHeight="1" x14ac:dyDescent="0.3">
      <c r="B8" s="331" t="s">
        <v>5892</v>
      </c>
      <c r="C8" s="331"/>
      <c r="D8" s="331"/>
      <c r="E8" s="607">
        <f>VLOOKUP($Q$3,BD_Clientes,7,FALSE)</f>
        <v>969934305</v>
      </c>
      <c r="F8" s="607"/>
      <c r="G8" s="607"/>
      <c r="H8" s="607"/>
      <c r="I8" s="607"/>
      <c r="J8" s="347" t="s">
        <v>5895</v>
      </c>
      <c r="K8" s="347"/>
      <c r="L8" s="432" t="s">
        <v>3253</v>
      </c>
      <c r="M8" s="322"/>
      <c r="N8" s="322"/>
      <c r="P8" s="337"/>
      <c r="Q8" s="337"/>
    </row>
    <row r="9" spans="2:20" ht="52.5" customHeight="1" x14ac:dyDescent="0.3">
      <c r="B9" s="331" t="s">
        <v>2506</v>
      </c>
      <c r="C9" s="331"/>
      <c r="D9" s="607" t="str">
        <f>VLOOKUP($Q$3,BD_Clientes,8,FALSE)</f>
        <v>eaponte@ciolimanorte.com / jcano@ciolimanorte.com / joao.rinc.oftec@gmail.com</v>
      </c>
      <c r="E9" s="607"/>
      <c r="F9" s="607"/>
      <c r="G9" s="607"/>
      <c r="H9" s="607"/>
      <c r="I9" s="607"/>
      <c r="J9" s="346" t="s">
        <v>5915</v>
      </c>
      <c r="K9" s="346"/>
      <c r="L9" s="428">
        <v>982429895</v>
      </c>
      <c r="M9" s="343"/>
      <c r="N9" s="343"/>
    </row>
    <row r="10" spans="2:20" ht="40.5" customHeight="1" x14ac:dyDescent="0.3">
      <c r="B10" s="346" t="s">
        <v>2504</v>
      </c>
      <c r="C10" s="346"/>
      <c r="D10" s="435"/>
      <c r="E10" s="605">
        <v>46009</v>
      </c>
      <c r="F10" s="605"/>
      <c r="G10" s="605"/>
      <c r="H10" s="605"/>
      <c r="I10" s="605"/>
      <c r="J10" s="346" t="s">
        <v>2507</v>
      </c>
      <c r="K10" s="346"/>
      <c r="L10" s="606">
        <v>46009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4.9" customHeight="1" x14ac:dyDescent="0.3">
      <c r="B17" s="389"/>
      <c r="C17" s="637" t="s">
        <v>6395</v>
      </c>
      <c r="D17" s="637"/>
      <c r="E17" s="637"/>
      <c r="F17" s="637"/>
      <c r="G17" s="637"/>
      <c r="H17" s="637"/>
      <c r="I17" s="637"/>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593" t="s">
        <v>3105</v>
      </c>
      <c r="M24" s="594"/>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8" t="s">
        <v>2516</v>
      </c>
      <c r="M25" s="599"/>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00" t="s">
        <v>5911</v>
      </c>
      <c r="M26" s="601"/>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602" t="s">
        <v>4014</v>
      </c>
      <c r="C28" s="602"/>
      <c r="D28" s="602"/>
      <c r="E28" s="602"/>
      <c r="F28" s="602"/>
      <c r="G28" s="602"/>
      <c r="H28" s="602"/>
      <c r="I28" s="602"/>
      <c r="J28" s="602"/>
      <c r="K28" s="602"/>
      <c r="L28" s="602"/>
      <c r="M28" s="602"/>
      <c r="N28" s="602"/>
      <c r="O28" s="336"/>
      <c r="P28" s="406"/>
      <c r="Q28" s="327"/>
      <c r="R28" s="327"/>
      <c r="S28" s="327"/>
      <c r="T28" s="327"/>
      <c r="U28" s="327"/>
      <c r="V28" s="327"/>
      <c r="W28" s="327"/>
      <c r="X28" s="327"/>
      <c r="Y28" s="327"/>
    </row>
    <row r="29" spans="2:25" s="322" customFormat="1" ht="123.6" customHeight="1" x14ac:dyDescent="0.3">
      <c r="B29" s="590" t="s">
        <v>6396</v>
      </c>
      <c r="C29" s="590"/>
      <c r="D29" s="590"/>
      <c r="E29" s="590"/>
      <c r="F29" s="590"/>
      <c r="G29" s="590"/>
      <c r="H29" s="590"/>
      <c r="I29" s="590"/>
      <c r="J29" s="590"/>
      <c r="K29" s="590"/>
      <c r="L29" s="590"/>
      <c r="M29" s="590"/>
      <c r="N29" s="590"/>
      <c r="O29" s="336"/>
      <c r="P29" s="406"/>
      <c r="Q29" s="327"/>
      <c r="R29" s="327"/>
      <c r="S29" s="327"/>
      <c r="T29" s="327"/>
      <c r="U29" s="327"/>
      <c r="V29" s="327"/>
      <c r="W29" s="327"/>
      <c r="X29" s="327"/>
      <c r="Y29" s="327"/>
    </row>
    <row r="30" spans="2:25" s="322" customFormat="1" ht="109.5" customHeight="1" x14ac:dyDescent="0.3">
      <c r="B30" s="584" t="s">
        <v>6194</v>
      </c>
      <c r="C30" s="584"/>
      <c r="D30" s="584"/>
      <c r="E30" s="584"/>
      <c r="F30" s="584"/>
      <c r="G30" s="584"/>
      <c r="H30" s="584"/>
      <c r="I30" s="584"/>
      <c r="J30" s="584"/>
      <c r="K30" s="584"/>
      <c r="L30" s="584"/>
      <c r="M30" s="584"/>
      <c r="N30" s="584"/>
      <c r="O30" s="336"/>
      <c r="P30" s="406"/>
      <c r="Q30" s="327"/>
      <c r="R30" s="327"/>
      <c r="S30" s="327"/>
      <c r="T30" s="327"/>
      <c r="U30" s="327"/>
      <c r="V30" s="327"/>
      <c r="W30" s="327"/>
      <c r="X30" s="327"/>
      <c r="Y30" s="327"/>
    </row>
    <row r="31" spans="2:25" s="322" customFormat="1" ht="56.25" customHeight="1" x14ac:dyDescent="0.3">
      <c r="B31" s="586" t="s">
        <v>5898</v>
      </c>
      <c r="C31" s="586"/>
      <c r="D31" s="586"/>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0" t="s">
        <v>4017</v>
      </c>
      <c r="C32" s="590"/>
      <c r="D32" s="590"/>
      <c r="E32" s="590"/>
      <c r="F32" s="590"/>
      <c r="G32" s="590"/>
      <c r="H32" s="590"/>
      <c r="I32" s="590"/>
      <c r="J32" s="590"/>
      <c r="K32" s="590"/>
      <c r="L32" s="590"/>
      <c r="M32" s="590"/>
      <c r="N32" s="590"/>
      <c r="O32" s="270"/>
      <c r="P32" s="404"/>
      <c r="Q32" s="292"/>
      <c r="R32" s="292"/>
      <c r="S32" s="292"/>
      <c r="T32" s="292"/>
      <c r="U32" s="292"/>
      <c r="V32" s="292"/>
      <c r="W32" s="292"/>
      <c r="X32" s="292"/>
      <c r="Y32" s="292"/>
    </row>
    <row r="33" spans="2:25" ht="79.5" customHeight="1" x14ac:dyDescent="0.3">
      <c r="B33" s="590" t="s">
        <v>5900</v>
      </c>
      <c r="C33" s="590"/>
      <c r="D33" s="590"/>
      <c r="E33" s="590"/>
      <c r="F33" s="590"/>
      <c r="G33" s="590"/>
      <c r="H33" s="590"/>
      <c r="I33" s="590"/>
      <c r="J33" s="590"/>
      <c r="K33" s="590"/>
      <c r="L33" s="590"/>
      <c r="M33" s="590"/>
      <c r="N33" s="590"/>
      <c r="O33" s="270"/>
      <c r="P33" s="404"/>
      <c r="Q33" s="292"/>
      <c r="R33" s="292"/>
      <c r="S33" s="292"/>
      <c r="T33" s="292"/>
      <c r="U33" s="292"/>
      <c r="V33" s="292"/>
      <c r="W33" s="292"/>
      <c r="X33" s="292"/>
      <c r="Y33" s="292"/>
    </row>
    <row r="34" spans="2:25" s="322" customFormat="1" ht="82.5" customHeight="1" x14ac:dyDescent="0.3">
      <c r="B34" s="589" t="s">
        <v>5901</v>
      </c>
      <c r="C34" s="589"/>
      <c r="D34" s="589"/>
      <c r="E34" s="589"/>
      <c r="F34" s="589"/>
      <c r="G34" s="589"/>
      <c r="H34" s="589"/>
      <c r="I34" s="589"/>
      <c r="J34" s="589"/>
      <c r="K34" s="589"/>
      <c r="L34" s="589"/>
      <c r="M34" s="589"/>
      <c r="N34" s="589"/>
      <c r="O34" s="323"/>
      <c r="P34" s="324"/>
    </row>
    <row r="35" spans="2:25" s="322" customFormat="1" ht="147.6" customHeight="1" x14ac:dyDescent="0.3">
      <c r="B35" s="590" t="s">
        <v>5907</v>
      </c>
      <c r="C35" s="590"/>
      <c r="D35" s="590"/>
      <c r="E35" s="590"/>
      <c r="F35" s="590"/>
      <c r="G35" s="590"/>
      <c r="H35" s="590"/>
      <c r="I35" s="590"/>
      <c r="J35" s="590"/>
      <c r="K35" s="590"/>
      <c r="L35" s="590"/>
      <c r="M35" s="590"/>
      <c r="N35" s="590"/>
      <c r="O35" s="323"/>
      <c r="P35" s="324"/>
      <c r="Q35" s="325"/>
      <c r="R35" s="326"/>
    </row>
    <row r="36" spans="2:25" s="322" customFormat="1" ht="45.6" customHeight="1" x14ac:dyDescent="0.3">
      <c r="B36" s="590" t="s">
        <v>4015</v>
      </c>
      <c r="C36" s="590"/>
      <c r="D36" s="590"/>
      <c r="E36" s="590"/>
      <c r="F36" s="590"/>
      <c r="G36" s="590"/>
      <c r="H36" s="590"/>
      <c r="I36" s="590"/>
      <c r="J36" s="590"/>
      <c r="K36" s="590"/>
      <c r="L36" s="590"/>
      <c r="M36" s="590"/>
      <c r="N36" s="590"/>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591" t="s">
        <v>2477</v>
      </c>
      <c r="C43" s="591"/>
      <c r="D43" s="591"/>
      <c r="E43" s="591"/>
      <c r="F43" s="591"/>
      <c r="G43" s="591"/>
      <c r="H43" s="591"/>
      <c r="I43" s="591"/>
      <c r="J43" s="591"/>
      <c r="K43" s="591"/>
      <c r="L43" s="591"/>
      <c r="M43" s="591"/>
      <c r="N43" s="591"/>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0" t="s">
        <v>5906</v>
      </c>
      <c r="C56" s="590"/>
      <c r="D56" s="590"/>
      <c r="E56" s="590"/>
      <c r="F56" s="590"/>
      <c r="G56" s="590"/>
      <c r="H56" s="590"/>
      <c r="I56" s="590"/>
      <c r="J56" s="590"/>
      <c r="K56" s="590"/>
      <c r="L56" s="590"/>
      <c r="M56" s="590"/>
      <c r="N56" s="590"/>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4"/>
      <c r="C64" s="584"/>
      <c r="D64" s="584"/>
      <c r="E64" s="584"/>
      <c r="M64" s="585"/>
      <c r="N64" s="585"/>
      <c r="Q64" s="332"/>
      <c r="R64" s="332"/>
    </row>
    <row r="65" spans="2:14" ht="51" customHeight="1" x14ac:dyDescent="0.3">
      <c r="B65" s="586" t="s">
        <v>5903</v>
      </c>
      <c r="C65" s="586"/>
      <c r="D65" s="586"/>
      <c r="E65" s="330"/>
      <c r="F65" s="330"/>
      <c r="G65" s="431"/>
      <c r="H65" s="431"/>
      <c r="I65" s="409"/>
      <c r="J65" s="409"/>
      <c r="K65" s="409"/>
      <c r="L65" s="409"/>
      <c r="M65" s="587" t="s">
        <v>2485</v>
      </c>
      <c r="N65" s="587"/>
    </row>
  </sheetData>
  <mergeCells count="40">
    <mergeCell ref="E10:I10"/>
    <mergeCell ref="L10:N10"/>
    <mergeCell ref="G3:K3"/>
    <mergeCell ref="D5:I5"/>
    <mergeCell ref="L5:N5"/>
    <mergeCell ref="E8:I8"/>
    <mergeCell ref="D9:I9"/>
    <mergeCell ref="P5:T5"/>
    <mergeCell ref="D6:I6"/>
    <mergeCell ref="P6:T6"/>
    <mergeCell ref="D7:I7"/>
    <mergeCell ref="L7:N7"/>
    <mergeCell ref="P7:T7"/>
    <mergeCell ref="C23:I23"/>
    <mergeCell ref="B13:N14"/>
    <mergeCell ref="C16:I16"/>
    <mergeCell ref="C17:I17"/>
    <mergeCell ref="C18:I18"/>
    <mergeCell ref="C19:I19"/>
    <mergeCell ref="C20:I20"/>
    <mergeCell ref="C21:I21"/>
    <mergeCell ref="C22:I22"/>
    <mergeCell ref="B36:N36"/>
    <mergeCell ref="L24:M24"/>
    <mergeCell ref="L25:M25"/>
    <mergeCell ref="L26:M26"/>
    <mergeCell ref="B28:N28"/>
    <mergeCell ref="B29:N29"/>
    <mergeCell ref="B30:N30"/>
    <mergeCell ref="B31:D31"/>
    <mergeCell ref="B32:N32"/>
    <mergeCell ref="B33:N33"/>
    <mergeCell ref="B34:N34"/>
    <mergeCell ref="B35:N35"/>
    <mergeCell ref="B43:N43"/>
    <mergeCell ref="B56:N56"/>
    <mergeCell ref="B64:E64"/>
    <mergeCell ref="M64:N64"/>
    <mergeCell ref="B65:D65"/>
    <mergeCell ref="M65:N65"/>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8" t="str">
        <f>VLOOKUP($Q$3,BD_Clientes,2,FALSE)</f>
        <v>CONSULTORIA &amp; CONSTRUCCION GRUPO PERGOLA SAC</v>
      </c>
      <c r="E5" s="638"/>
      <c r="F5" s="638"/>
      <c r="G5" s="638"/>
      <c r="H5" s="638"/>
      <c r="I5" s="638"/>
      <c r="J5" s="515" t="s">
        <v>6443</v>
      </c>
      <c r="L5" s="639" t="str">
        <f>VLOOKUP($Q$3,BD_Clientes,9,FALSE)</f>
        <v>Creación del Servicio de Movilidad Urbana en Cinco (5) Pasos a Desnivel Elevado (Puentes Vehiculares) en el Eje Vial de la Av. Próceres</v>
      </c>
      <c r="M5" s="639"/>
      <c r="N5" s="639"/>
      <c r="P5" s="626">
        <v>222</v>
      </c>
      <c r="Q5" s="626"/>
      <c r="R5" s="626"/>
      <c r="S5" s="626"/>
      <c r="T5" s="626"/>
    </row>
    <row r="6" spans="2:20" ht="25.5" customHeight="1" x14ac:dyDescent="0.3">
      <c r="B6" s="485" t="s">
        <v>6444</v>
      </c>
      <c r="C6" s="485"/>
      <c r="D6" s="638">
        <f>VLOOKUP($Q$3,BD_Clientes,3,FALSE)</f>
        <v>20602842330</v>
      </c>
      <c r="E6" s="638"/>
      <c r="F6" s="638"/>
      <c r="G6" s="638"/>
      <c r="H6" s="638"/>
      <c r="I6" s="638"/>
      <c r="K6" s="256"/>
      <c r="L6" s="338"/>
      <c r="M6" s="338"/>
      <c r="N6" s="338"/>
      <c r="P6" s="629">
        <v>222</v>
      </c>
      <c r="Q6" s="629"/>
      <c r="R6" s="629"/>
      <c r="S6" s="629"/>
      <c r="T6" s="629"/>
    </row>
    <row r="7" spans="2:20" ht="25.5" customHeight="1" x14ac:dyDescent="0.3">
      <c r="B7" s="485" t="s">
        <v>2499</v>
      </c>
      <c r="C7" s="485"/>
      <c r="D7" s="638" t="str">
        <f>VLOOKUP($Q$3,BD_Clientes,5,FALSE)</f>
        <v>Ing. Melchor Bartra G. / Carla Gonzales</v>
      </c>
      <c r="E7" s="638"/>
      <c r="F7" s="638"/>
      <c r="G7" s="638"/>
      <c r="H7" s="638"/>
      <c r="I7" s="638"/>
      <c r="J7" s="515" t="s">
        <v>6445</v>
      </c>
      <c r="L7" s="639" t="str">
        <f>VLOOKUP($Q$3,BD_Clientes,10,FALSE)</f>
        <v>San Juan de Lurigancho - Lima</v>
      </c>
      <c r="M7" s="639"/>
      <c r="N7" s="639"/>
      <c r="P7" s="627">
        <v>222</v>
      </c>
      <c r="Q7" s="627"/>
      <c r="R7" s="627"/>
      <c r="S7" s="627"/>
      <c r="T7" s="627"/>
    </row>
    <row r="8" spans="2:20" ht="27" customHeight="1" x14ac:dyDescent="0.3">
      <c r="B8" s="485" t="s">
        <v>5892</v>
      </c>
      <c r="C8" s="485"/>
      <c r="D8" s="485"/>
      <c r="E8" s="638" t="str">
        <f>VLOOKUP($Q$3,BD_Clientes,7,FALSE)</f>
        <v>942485869 / 941487229</v>
      </c>
      <c r="F8" s="638"/>
      <c r="G8" s="638"/>
      <c r="H8" s="638"/>
      <c r="I8" s="638"/>
      <c r="J8" s="519" t="s">
        <v>5895</v>
      </c>
      <c r="K8" s="519"/>
      <c r="L8" s="298" t="s">
        <v>3253</v>
      </c>
      <c r="P8" s="337"/>
      <c r="Q8" s="337"/>
    </row>
    <row r="9" spans="2:20" ht="35.25" customHeight="1" x14ac:dyDescent="0.3">
      <c r="B9" s="485" t="s">
        <v>2506</v>
      </c>
      <c r="C9" s="485"/>
      <c r="D9" s="638" t="str">
        <f>VLOOKUP($Q$3,BD_Clientes,8,FALSE)</f>
        <v>mbartra01@hotmail.com / cgonzales@grupopergola.com</v>
      </c>
      <c r="E9" s="638"/>
      <c r="F9" s="638"/>
      <c r="G9" s="638"/>
      <c r="H9" s="638"/>
      <c r="I9" s="638"/>
      <c r="J9" s="520" t="s">
        <v>5915</v>
      </c>
      <c r="K9" s="520"/>
      <c r="L9" s="521">
        <v>982429895</v>
      </c>
      <c r="M9" s="256"/>
      <c r="N9" s="256"/>
    </row>
    <row r="10" spans="2:20" ht="29.25" customHeight="1" x14ac:dyDescent="0.3">
      <c r="B10" s="520" t="s">
        <v>2504</v>
      </c>
      <c r="C10" s="520"/>
      <c r="D10" s="522"/>
      <c r="E10" s="640">
        <v>46020</v>
      </c>
      <c r="F10" s="640"/>
      <c r="G10" s="640"/>
      <c r="H10" s="640"/>
      <c r="I10" s="640"/>
      <c r="J10" s="520" t="s">
        <v>2507</v>
      </c>
      <c r="K10" s="520"/>
      <c r="L10" s="641">
        <v>46020</v>
      </c>
      <c r="M10" s="641"/>
      <c r="N10" s="641"/>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2" t="s">
        <v>5897</v>
      </c>
      <c r="C13" s="642"/>
      <c r="D13" s="642"/>
      <c r="E13" s="642"/>
      <c r="F13" s="642"/>
      <c r="G13" s="642"/>
      <c r="H13" s="642"/>
      <c r="I13" s="642"/>
      <c r="J13" s="642"/>
      <c r="K13" s="642"/>
      <c r="L13" s="642"/>
      <c r="M13" s="642"/>
      <c r="N13" s="642"/>
    </row>
    <row r="14" spans="2:20" ht="14.25" customHeight="1" x14ac:dyDescent="0.3">
      <c r="B14" s="642"/>
      <c r="C14" s="642"/>
      <c r="D14" s="642"/>
      <c r="E14" s="642"/>
      <c r="F14" s="642"/>
      <c r="G14" s="642"/>
      <c r="H14" s="642"/>
      <c r="I14" s="642"/>
      <c r="J14" s="642"/>
      <c r="K14" s="642"/>
      <c r="L14" s="642"/>
      <c r="M14" s="642"/>
      <c r="N14" s="642"/>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53" t="str">
        <f>VLOOKUP(B18,ENS.!$B$5:$H$167,2,FALSE)</f>
        <v>Clasificación suelo SUCS - AASHTO</v>
      </c>
      <c r="D18" s="654"/>
      <c r="E18" s="654"/>
      <c r="F18" s="654"/>
      <c r="G18" s="654"/>
      <c r="H18" s="654"/>
      <c r="I18" s="655"/>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53" t="str">
        <f>VLOOKUP(B23,ENS.!$B$5:$H$167,2,FALSE)</f>
        <v>Clasificación suelo SUCS - AASHTO</v>
      </c>
      <c r="D23" s="654"/>
      <c r="E23" s="654"/>
      <c r="F23" s="654"/>
      <c r="G23" s="654"/>
      <c r="H23" s="654"/>
      <c r="I23" s="655"/>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53" t="str">
        <f>VLOOKUP(B25,ENS.!$B$5:$H$167,2,FALSE)</f>
        <v>Análisis granulométrico por tamizado en Suelo</v>
      </c>
      <c r="D25" s="654"/>
      <c r="E25" s="654"/>
      <c r="F25" s="654"/>
      <c r="G25" s="654"/>
      <c r="H25" s="654"/>
      <c r="I25" s="655"/>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53" t="str">
        <f>VLOOKUP(B26,ENS.!$B$5:$H$167,2,FALSE)</f>
        <v xml:space="preserve">Límite líquido y Límite Plástico del Suelo </v>
      </c>
      <c r="D26" s="654"/>
      <c r="E26" s="654"/>
      <c r="F26" s="654"/>
      <c r="G26" s="654"/>
      <c r="H26" s="654"/>
      <c r="I26" s="655"/>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53" t="str">
        <f>VLOOKUP(B27,ENS.!$B$5:$H$167,2,FALSE)</f>
        <v xml:space="preserve">Abrasión los Ángeles de agregado grueso de gran tamaño </v>
      </c>
      <c r="D27" s="654"/>
      <c r="E27" s="654"/>
      <c r="F27" s="654"/>
      <c r="G27" s="654"/>
      <c r="H27" s="654"/>
      <c r="I27" s="655"/>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53" t="str">
        <f>VLOOKUP(B28,ENS.!$B$5:$H$167,2,FALSE)</f>
        <v>Contenido de materia orgánica.</v>
      </c>
      <c r="D28" s="654"/>
      <c r="E28" s="654"/>
      <c r="F28" s="654"/>
      <c r="G28" s="654"/>
      <c r="H28" s="654"/>
      <c r="I28" s="655"/>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53" t="str">
        <f>VLOOKUP(B29,ENS.!$B$5:$H$167,2,FALSE)</f>
        <v xml:space="preserve">Próctor modificado </v>
      </c>
      <c r="D29" s="654"/>
      <c r="E29" s="654"/>
      <c r="F29" s="654"/>
      <c r="G29" s="654"/>
      <c r="H29" s="654"/>
      <c r="I29" s="655"/>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53" t="str">
        <f>VLOOKUP(B30,ENS.!$B$5:$H$167,2,FALSE)</f>
        <v>Gravedad específica de los sólidos del suelo.</v>
      </c>
      <c r="D30" s="654"/>
      <c r="E30" s="654"/>
      <c r="F30" s="654"/>
      <c r="G30" s="654"/>
      <c r="H30" s="654"/>
      <c r="I30" s="655"/>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53" t="str">
        <f>VLOOKUP(B31,ENS.!$B$5:$H$167,2,FALSE)</f>
        <v>Gravedad especifica y absorción de agregado grueso</v>
      </c>
      <c r="D31" s="654"/>
      <c r="E31" s="654"/>
      <c r="F31" s="654"/>
      <c r="G31" s="654"/>
      <c r="H31" s="654"/>
      <c r="I31" s="655"/>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53" t="str">
        <f>VLOOKUP(B32,ENS.!$B$5:$H$167,2,FALSE)</f>
        <v>California Bearing Ratio (CBR)</v>
      </c>
      <c r="D32" s="654"/>
      <c r="E32" s="654"/>
      <c r="F32" s="654"/>
      <c r="G32" s="654"/>
      <c r="H32" s="654"/>
      <c r="I32" s="655"/>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53" t="str">
        <f>VLOOKUP(B33,ENS.!$B$5:$H$167,2,FALSE)</f>
        <v>Clasificación suelo SUCS - AASHTO</v>
      </c>
      <c r="D33" s="654"/>
      <c r="E33" s="654"/>
      <c r="F33" s="654"/>
      <c r="G33" s="654"/>
      <c r="H33" s="654"/>
      <c r="I33" s="655"/>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62" t="s">
        <v>3105</v>
      </c>
      <c r="M34" s="663"/>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71" t="s">
        <v>2516</v>
      </c>
      <c r="M35" s="672"/>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31" t="s">
        <v>5911</v>
      </c>
      <c r="M36" s="633"/>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602" t="s">
        <v>4014</v>
      </c>
      <c r="C38" s="602"/>
      <c r="D38" s="602"/>
      <c r="E38" s="602"/>
      <c r="F38" s="602"/>
      <c r="G38" s="602"/>
      <c r="H38" s="602"/>
      <c r="I38" s="602"/>
      <c r="J38" s="602"/>
      <c r="K38" s="602"/>
      <c r="L38" s="602"/>
      <c r="M38" s="602"/>
      <c r="N38" s="602"/>
      <c r="O38" s="336"/>
      <c r="P38" s="406"/>
      <c r="Q38" s="327"/>
      <c r="R38" s="327"/>
      <c r="S38" s="327"/>
      <c r="T38" s="327"/>
      <c r="U38" s="327"/>
      <c r="V38" s="327"/>
      <c r="W38" s="327"/>
      <c r="X38" s="327"/>
      <c r="Y38" s="327"/>
    </row>
    <row r="39" spans="2:25" s="322" customFormat="1" ht="123.6" customHeight="1" x14ac:dyDescent="0.3">
      <c r="B39" s="590" t="s">
        <v>6450</v>
      </c>
      <c r="C39" s="590"/>
      <c r="D39" s="590"/>
      <c r="E39" s="590"/>
      <c r="F39" s="590"/>
      <c r="G39" s="590"/>
      <c r="H39" s="590"/>
      <c r="I39" s="590"/>
      <c r="J39" s="590"/>
      <c r="K39" s="590"/>
      <c r="L39" s="590"/>
      <c r="M39" s="590"/>
      <c r="N39" s="590"/>
      <c r="O39" s="336"/>
      <c r="P39" s="406"/>
      <c r="Q39" s="327"/>
      <c r="R39" s="327"/>
      <c r="S39" s="327"/>
      <c r="T39" s="327"/>
      <c r="U39" s="327"/>
      <c r="V39" s="327"/>
      <c r="W39" s="327"/>
      <c r="X39" s="327"/>
      <c r="Y39" s="327"/>
    </row>
    <row r="40" spans="2:25" s="322" customFormat="1" ht="99" customHeight="1" x14ac:dyDescent="0.3">
      <c r="B40" s="586" t="s">
        <v>5898</v>
      </c>
      <c r="C40" s="586"/>
      <c r="D40" s="586"/>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4" t="s">
        <v>6255</v>
      </c>
      <c r="C41" s="584"/>
      <c r="D41" s="584"/>
      <c r="E41" s="584"/>
      <c r="F41" s="584"/>
      <c r="G41" s="584"/>
      <c r="H41" s="584"/>
      <c r="I41" s="584"/>
      <c r="J41" s="584"/>
      <c r="K41" s="584"/>
      <c r="L41" s="584"/>
      <c r="M41" s="584"/>
      <c r="N41" s="584"/>
      <c r="O41" s="336"/>
      <c r="P41" s="406"/>
      <c r="Q41" s="327"/>
      <c r="R41" s="327"/>
      <c r="S41" s="327"/>
      <c r="T41" s="327"/>
      <c r="U41" s="327"/>
      <c r="V41" s="327"/>
      <c r="W41" s="327"/>
      <c r="X41" s="327"/>
      <c r="Y41" s="327"/>
    </row>
    <row r="42" spans="2:25" ht="68.25" customHeight="1" x14ac:dyDescent="0.3">
      <c r="B42" s="590" t="s">
        <v>4017</v>
      </c>
      <c r="C42" s="590"/>
      <c r="D42" s="590"/>
      <c r="E42" s="590"/>
      <c r="F42" s="590"/>
      <c r="G42" s="590"/>
      <c r="H42" s="590"/>
      <c r="I42" s="590"/>
      <c r="J42" s="590"/>
      <c r="K42" s="590"/>
      <c r="L42" s="590"/>
      <c r="M42" s="590"/>
      <c r="N42" s="590"/>
      <c r="O42" s="270"/>
      <c r="P42" s="404"/>
      <c r="Q42" s="292"/>
      <c r="R42" s="292"/>
      <c r="S42" s="292"/>
      <c r="T42" s="292"/>
      <c r="U42" s="292"/>
      <c r="V42" s="292"/>
      <c r="W42" s="292"/>
      <c r="X42" s="292"/>
      <c r="Y42" s="292"/>
    </row>
    <row r="43" spans="2:25" ht="79.5" customHeight="1" x14ac:dyDescent="0.3">
      <c r="B43" s="590" t="s">
        <v>5900</v>
      </c>
      <c r="C43" s="590"/>
      <c r="D43" s="590"/>
      <c r="E43" s="590"/>
      <c r="F43" s="590"/>
      <c r="G43" s="590"/>
      <c r="H43" s="590"/>
      <c r="I43" s="590"/>
      <c r="J43" s="590"/>
      <c r="K43" s="590"/>
      <c r="L43" s="590"/>
      <c r="M43" s="590"/>
      <c r="N43" s="590"/>
      <c r="O43" s="270"/>
      <c r="P43" s="404"/>
      <c r="Q43" s="292"/>
      <c r="R43" s="292"/>
      <c r="S43" s="292"/>
      <c r="T43" s="292"/>
      <c r="U43" s="292"/>
      <c r="V43" s="292"/>
      <c r="W43" s="292"/>
      <c r="X43" s="292"/>
      <c r="Y43" s="292"/>
    </row>
    <row r="44" spans="2:25" s="322" customFormat="1" ht="82.5" customHeight="1" x14ac:dyDescent="0.3">
      <c r="B44" s="589" t="s">
        <v>5901</v>
      </c>
      <c r="C44" s="589"/>
      <c r="D44" s="589"/>
      <c r="E44" s="589"/>
      <c r="F44" s="589"/>
      <c r="G44" s="589"/>
      <c r="H44" s="589"/>
      <c r="I44" s="589"/>
      <c r="J44" s="589"/>
      <c r="K44" s="589"/>
      <c r="L44" s="589"/>
      <c r="M44" s="589"/>
      <c r="N44" s="589"/>
      <c r="O44" s="323"/>
      <c r="P44" s="324"/>
    </row>
    <row r="45" spans="2:25" s="322" customFormat="1" ht="147.6" customHeight="1" x14ac:dyDescent="0.3">
      <c r="B45" s="590" t="s">
        <v>5907</v>
      </c>
      <c r="C45" s="590"/>
      <c r="D45" s="590"/>
      <c r="E45" s="590"/>
      <c r="F45" s="590"/>
      <c r="G45" s="590"/>
      <c r="H45" s="590"/>
      <c r="I45" s="590"/>
      <c r="J45" s="590"/>
      <c r="K45" s="590"/>
      <c r="L45" s="590"/>
      <c r="M45" s="590"/>
      <c r="N45" s="590"/>
      <c r="O45" s="323"/>
      <c r="P45" s="324"/>
      <c r="Q45" s="325"/>
      <c r="R45" s="326"/>
    </row>
    <row r="46" spans="2:25" s="322" customFormat="1" ht="45.6" customHeight="1" x14ac:dyDescent="0.3">
      <c r="B46" s="590" t="s">
        <v>4015</v>
      </c>
      <c r="C46" s="590"/>
      <c r="D46" s="590"/>
      <c r="E46" s="590"/>
      <c r="F46" s="590"/>
      <c r="G46" s="590"/>
      <c r="H46" s="590"/>
      <c r="I46" s="590"/>
      <c r="J46" s="590"/>
      <c r="K46" s="590"/>
      <c r="L46" s="590"/>
      <c r="M46" s="590"/>
      <c r="N46" s="590"/>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591" t="s">
        <v>2477</v>
      </c>
      <c r="C53" s="591"/>
      <c r="D53" s="591"/>
      <c r="E53" s="591"/>
      <c r="F53" s="591"/>
      <c r="G53" s="591"/>
      <c r="H53" s="591"/>
      <c r="I53" s="591"/>
      <c r="J53" s="591"/>
      <c r="K53" s="591"/>
      <c r="L53" s="591"/>
      <c r="M53" s="591"/>
      <c r="N53" s="591"/>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0" t="s">
        <v>5906</v>
      </c>
      <c r="C66" s="590"/>
      <c r="D66" s="590"/>
      <c r="E66" s="590"/>
      <c r="F66" s="590"/>
      <c r="G66" s="590"/>
      <c r="H66" s="590"/>
      <c r="I66" s="590"/>
      <c r="J66" s="590"/>
      <c r="K66" s="590"/>
      <c r="L66" s="590"/>
      <c r="M66" s="590"/>
      <c r="N66" s="590"/>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4"/>
      <c r="C74" s="584"/>
      <c r="D74" s="584"/>
      <c r="E74" s="584"/>
      <c r="M74" s="585"/>
      <c r="N74" s="585"/>
      <c r="Q74" s="332"/>
      <c r="R74" s="332"/>
    </row>
    <row r="75" spans="2:18" ht="51" customHeight="1" x14ac:dyDescent="0.3">
      <c r="B75" s="586" t="s">
        <v>5903</v>
      </c>
      <c r="C75" s="586"/>
      <c r="D75" s="586"/>
      <c r="E75" s="330"/>
      <c r="F75" s="330"/>
      <c r="G75" s="431"/>
      <c r="H75" s="431"/>
      <c r="I75" s="409"/>
      <c r="J75" s="409"/>
      <c r="K75" s="409"/>
      <c r="L75" s="409"/>
      <c r="M75" s="587" t="s">
        <v>2485</v>
      </c>
      <c r="N75" s="587"/>
    </row>
  </sheetData>
  <mergeCells count="50">
    <mergeCell ref="B44:N44"/>
    <mergeCell ref="L34:M34"/>
    <mergeCell ref="B39:N39"/>
    <mergeCell ref="B40:D40"/>
    <mergeCell ref="B41:N41"/>
    <mergeCell ref="B42:N42"/>
    <mergeCell ref="B43:N43"/>
    <mergeCell ref="L35:M35"/>
    <mergeCell ref="L36:M36"/>
    <mergeCell ref="B38:N38"/>
    <mergeCell ref="B75:D75"/>
    <mergeCell ref="M75:N75"/>
    <mergeCell ref="B45:N45"/>
    <mergeCell ref="B46:N46"/>
    <mergeCell ref="B53:N53"/>
    <mergeCell ref="B66:N66"/>
    <mergeCell ref="B74:E74"/>
    <mergeCell ref="M74:N74"/>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G3:K3"/>
    <mergeCell ref="D5:I5"/>
    <mergeCell ref="L5:N5"/>
    <mergeCell ref="D7:I7"/>
    <mergeCell ref="L7:N7"/>
    <mergeCell ref="C28:I28"/>
    <mergeCell ref="P5:T5"/>
    <mergeCell ref="D6:I6"/>
    <mergeCell ref="P6:T6"/>
    <mergeCell ref="E10:I10"/>
    <mergeCell ref="L10:N10"/>
    <mergeCell ref="P7:T7"/>
    <mergeCell ref="E8:I8"/>
    <mergeCell ref="D9:I9"/>
    <mergeCell ref="B13:N14"/>
    <mergeCell ref="C16:I16"/>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18"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22.5"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8" customHeight="1" x14ac:dyDescent="0.3">
      <c r="B10" s="346" t="s">
        <v>2504</v>
      </c>
      <c r="C10" s="346"/>
      <c r="D10" s="435"/>
      <c r="E10" s="605">
        <v>45996</v>
      </c>
      <c r="F10" s="605"/>
      <c r="G10" s="605"/>
      <c r="H10" s="605"/>
      <c r="I10" s="605"/>
      <c r="J10" s="346" t="s">
        <v>2507</v>
      </c>
      <c r="K10" s="346"/>
      <c r="L10" s="606">
        <v>45996</v>
      </c>
      <c r="M10" s="606"/>
      <c r="N10" s="606"/>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2"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15" s="269" customFormat="1" ht="20.100000000000001" customHeight="1" x14ac:dyDescent="0.3">
      <c r="B17" s="477"/>
      <c r="C17" s="637" t="s">
        <v>6335</v>
      </c>
      <c r="D17" s="637"/>
      <c r="E17" s="637"/>
      <c r="F17" s="637"/>
      <c r="G17" s="637"/>
      <c r="H17" s="637"/>
      <c r="I17" s="637"/>
      <c r="J17" s="478"/>
      <c r="K17" s="478"/>
      <c r="L17" s="479"/>
      <c r="M17" s="478"/>
      <c r="N17" s="480"/>
      <c r="O17" s="321"/>
    </row>
    <row r="18" spans="2:15" s="269" customFormat="1" ht="24.9"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53" t="str">
        <f>VLOOKUP(B19,ENS.!$B$5:$H$167,2,FALSE)</f>
        <v>California Bearing Ratio (CBR)</v>
      </c>
      <c r="D19" s="654"/>
      <c r="E19" s="654"/>
      <c r="F19" s="654"/>
      <c r="G19" s="654"/>
      <c r="H19" s="654"/>
      <c r="I19" s="655"/>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53" t="str">
        <f>VLOOKUP(B23,ENS.!$B$5:$H$167,2,FALSE)</f>
        <v xml:space="preserve">Límite líquido y Límite Plástico del Suelo </v>
      </c>
      <c r="D23" s="654"/>
      <c r="E23" s="654"/>
      <c r="F23" s="654"/>
      <c r="G23" s="654"/>
      <c r="H23" s="654"/>
      <c r="I23" s="655"/>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53" t="str">
        <f>VLOOKUP(B24,ENS.!$B$5:$H$167,2,FALSE)</f>
        <v>Inalterabilidad Agregado Grueso con Sulfato de Magnesio.</v>
      </c>
      <c r="D24" s="654"/>
      <c r="E24" s="654"/>
      <c r="F24" s="654"/>
      <c r="G24" s="654"/>
      <c r="H24" s="654"/>
      <c r="I24" s="655"/>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53" t="str">
        <f>VLOOKUP(B25,ENS.!$B$5:$H$167,2,FALSE)</f>
        <v>Inalterabilidad Agregado Fino con Sulfato de Magnesio.</v>
      </c>
      <c r="D25" s="654"/>
      <c r="E25" s="654"/>
      <c r="F25" s="654"/>
      <c r="G25" s="654"/>
      <c r="H25" s="654"/>
      <c r="I25" s="655"/>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53" t="str">
        <f>VLOOKUP(B26,ENS.!$B$5:$H$167,2,FALSE)</f>
        <v>Abrasión los Ángeles de agregado grueso de tamaño pequeño.</v>
      </c>
      <c r="D26" s="654"/>
      <c r="E26" s="654"/>
      <c r="F26" s="654"/>
      <c r="G26" s="654"/>
      <c r="H26" s="654"/>
      <c r="I26" s="655"/>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53" t="str">
        <f>VLOOKUP(B27,ENS.!$B$5:$H$167,2,FALSE)</f>
        <v>Terrones de arcilla y partículas friables, Fino o grueso.</v>
      </c>
      <c r="D27" s="654"/>
      <c r="E27" s="654"/>
      <c r="F27" s="654"/>
      <c r="G27" s="654"/>
      <c r="H27" s="654"/>
      <c r="I27" s="655"/>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53" t="str">
        <f>VLOOKUP(B28,ENS.!$B$5:$H$167,2,FALSE)</f>
        <v>Equivalente de arena</v>
      </c>
      <c r="D28" s="654"/>
      <c r="E28" s="654"/>
      <c r="F28" s="654"/>
      <c r="G28" s="654"/>
      <c r="H28" s="654"/>
      <c r="I28" s="655"/>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53" t="str">
        <f>VLOOKUP(B29,ENS.!$B$5:$H$167,2,FALSE)</f>
        <v>Valor de azul de metileno.</v>
      </c>
      <c r="D29" s="654"/>
      <c r="E29" s="654"/>
      <c r="F29" s="654"/>
      <c r="G29" s="654"/>
      <c r="H29" s="654"/>
      <c r="I29" s="655"/>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53" t="str">
        <f>VLOOKUP(B30,ENS.!$B$5:$H$167,2,FALSE)</f>
        <v>Partículas planas y alargadas en agregado grueso</v>
      </c>
      <c r="D30" s="654"/>
      <c r="E30" s="654"/>
      <c r="F30" s="654"/>
      <c r="G30" s="654"/>
      <c r="H30" s="654"/>
      <c r="I30" s="655"/>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53" t="str">
        <f>VLOOKUP(B31,ENS.!$B$5:$H$167,2,FALSE)</f>
        <v xml:space="preserve">Porcentaje de Caras fracturadas en agregado grueso </v>
      </c>
      <c r="D31" s="654"/>
      <c r="E31" s="654"/>
      <c r="F31" s="654"/>
      <c r="G31" s="654"/>
      <c r="H31" s="654"/>
      <c r="I31" s="655"/>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53" t="str">
        <f>VLOOKUP(B32,ENS.!$B$5:$H$167,2,FALSE)</f>
        <v>Angularidad del agregado fino.</v>
      </c>
      <c r="D32" s="654"/>
      <c r="E32" s="654"/>
      <c r="F32" s="654"/>
      <c r="G32" s="654"/>
      <c r="H32" s="654"/>
      <c r="I32" s="655"/>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53" t="str">
        <f>VLOOKUP(B33,ENS.!$B$5:$H$167,2,FALSE)</f>
        <v>Gravedad específica y absorción del agregado fino</v>
      </c>
      <c r="D33" s="654"/>
      <c r="E33" s="654"/>
      <c r="F33" s="654"/>
      <c r="G33" s="654"/>
      <c r="H33" s="654"/>
      <c r="I33" s="655"/>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3" t="str">
        <f>VLOOKUP(B34,ENS.!$B$5:$H$167,2,FALSE)</f>
        <v>Contenido Sales solubles, fino o grueso.</v>
      </c>
      <c r="D34" s="693"/>
      <c r="E34" s="693"/>
      <c r="F34" s="693"/>
      <c r="G34" s="693"/>
      <c r="H34" s="693"/>
      <c r="I34" s="693"/>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62" t="s">
        <v>3105</v>
      </c>
      <c r="M35" s="663"/>
      <c r="N35" s="491">
        <f>SUM(N17:N34)</f>
        <v>2850</v>
      </c>
      <c r="O35" s="270"/>
      <c r="P35" s="404"/>
      <c r="Q35" s="169"/>
      <c r="S35" s="169"/>
      <c r="T35" s="169"/>
      <c r="U35" s="169"/>
      <c r="V35" s="169"/>
      <c r="W35" s="169"/>
      <c r="X35" s="169"/>
      <c r="Y35" s="169"/>
    </row>
    <row r="36" spans="2:25" ht="22.2" customHeight="1" x14ac:dyDescent="0.3">
      <c r="B36" s="586"/>
      <c r="C36" s="586"/>
      <c r="D36" s="586"/>
      <c r="E36" s="169"/>
      <c r="F36" s="169"/>
      <c r="G36" s="169"/>
      <c r="H36" s="169"/>
      <c r="I36" s="169"/>
      <c r="J36" s="169"/>
      <c r="K36" s="169"/>
      <c r="L36" s="671" t="s">
        <v>2516</v>
      </c>
      <c r="M36" s="672"/>
      <c r="N36" s="491">
        <f>+N35*0.18</f>
        <v>513</v>
      </c>
      <c r="O36" s="270"/>
      <c r="P36" s="404"/>
      <c r="Q36" s="169"/>
      <c r="R36" s="169"/>
      <c r="S36" s="169"/>
      <c r="T36" s="169"/>
      <c r="U36" s="169"/>
      <c r="V36" s="169"/>
      <c r="W36" s="169"/>
      <c r="X36" s="169"/>
      <c r="Y36" s="169"/>
    </row>
    <row r="37" spans="2:25" ht="22.2" customHeight="1" x14ac:dyDescent="0.3">
      <c r="B37" s="586"/>
      <c r="C37" s="586"/>
      <c r="D37" s="586"/>
      <c r="E37" s="169"/>
      <c r="F37" s="169"/>
      <c r="G37" s="169"/>
      <c r="H37" s="169"/>
      <c r="I37" s="169"/>
      <c r="J37" s="169"/>
      <c r="K37" s="169"/>
      <c r="L37" s="631" t="s">
        <v>5911</v>
      </c>
      <c r="M37" s="633"/>
      <c r="N37" s="492">
        <f>+N35+N36</f>
        <v>3363</v>
      </c>
      <c r="O37" s="270"/>
      <c r="P37" s="404"/>
      <c r="Q37" s="292"/>
      <c r="R37" s="292"/>
      <c r="S37" s="292"/>
      <c r="T37" s="292"/>
      <c r="U37" s="292"/>
      <c r="V37" s="292"/>
      <c r="W37" s="292"/>
      <c r="X37" s="292"/>
      <c r="Y37" s="292"/>
    </row>
    <row r="38" spans="2:25" ht="22.2" customHeight="1" x14ac:dyDescent="0.3">
      <c r="B38" s="586"/>
      <c r="C38" s="586"/>
      <c r="D38" s="586"/>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6" t="s">
        <v>6212</v>
      </c>
      <c r="C40" s="696"/>
      <c r="D40" s="696"/>
      <c r="E40" s="696"/>
      <c r="F40" s="696"/>
      <c r="G40" s="696"/>
      <c r="H40" s="696"/>
      <c r="I40" s="696"/>
      <c r="J40" s="696"/>
      <c r="K40" s="696"/>
      <c r="L40" s="696"/>
      <c r="M40" s="696"/>
      <c r="N40" s="696"/>
      <c r="O40" s="336"/>
      <c r="P40" s="406"/>
      <c r="Q40" s="327"/>
      <c r="R40" s="327"/>
      <c r="S40" s="327"/>
      <c r="T40" s="327"/>
      <c r="U40" s="327"/>
      <c r="V40" s="327"/>
      <c r="W40" s="327"/>
      <c r="X40" s="327"/>
      <c r="Y40" s="327"/>
    </row>
    <row r="41" spans="2:25" s="322" customFormat="1" ht="96.75" customHeight="1" x14ac:dyDescent="0.3">
      <c r="B41" s="697" t="s">
        <v>6336</v>
      </c>
      <c r="C41" s="697"/>
      <c r="D41" s="697"/>
      <c r="E41" s="697"/>
      <c r="F41" s="697"/>
      <c r="G41" s="697"/>
      <c r="H41" s="697"/>
      <c r="I41" s="697"/>
      <c r="J41" s="697"/>
      <c r="K41" s="697"/>
      <c r="L41" s="697"/>
      <c r="M41" s="697"/>
      <c r="N41" s="697"/>
      <c r="O41" s="336"/>
      <c r="P41" s="406"/>
      <c r="Q41" s="327"/>
      <c r="R41" s="327"/>
      <c r="S41" s="327"/>
      <c r="T41" s="327"/>
      <c r="U41" s="327"/>
      <c r="V41" s="327"/>
      <c r="W41" s="327"/>
      <c r="X41" s="327"/>
      <c r="Y41" s="327"/>
    </row>
    <row r="42" spans="2:25" s="322" customFormat="1" ht="96.75" customHeight="1" x14ac:dyDescent="0.25">
      <c r="B42" s="698" t="s">
        <v>5898</v>
      </c>
      <c r="C42" s="698"/>
      <c r="D42" s="698"/>
      <c r="E42" s="698"/>
      <c r="F42" s="698"/>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2" t="s">
        <v>6226</v>
      </c>
      <c r="C43" s="642"/>
      <c r="D43" s="642"/>
      <c r="E43" s="642"/>
      <c r="F43" s="642"/>
      <c r="G43" s="642"/>
      <c r="H43" s="642"/>
      <c r="I43" s="642"/>
      <c r="J43" s="642"/>
      <c r="K43" s="642"/>
      <c r="L43" s="642"/>
      <c r="M43" s="642"/>
      <c r="N43" s="642"/>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89" t="s">
        <v>6215</v>
      </c>
      <c r="C46" s="689"/>
      <c r="D46" s="689"/>
      <c r="E46" s="689"/>
      <c r="F46" s="689"/>
      <c r="G46" s="689"/>
      <c r="H46" s="689"/>
      <c r="I46" s="689"/>
      <c r="J46" s="689"/>
      <c r="K46" s="689"/>
      <c r="L46" s="689"/>
      <c r="M46" s="689"/>
      <c r="N46" s="689"/>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5" t="s">
        <v>2477</v>
      </c>
      <c r="C55" s="695"/>
      <c r="D55" s="695"/>
      <c r="E55" s="695"/>
      <c r="F55" s="695"/>
      <c r="G55" s="695"/>
      <c r="H55" s="695"/>
      <c r="I55" s="695"/>
      <c r="J55" s="695"/>
      <c r="K55" s="695"/>
      <c r="L55" s="695"/>
      <c r="M55" s="695"/>
      <c r="N55" s="695"/>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2"/>
      <c r="C76" s="642"/>
      <c r="D76" s="642"/>
      <c r="E76" s="642"/>
      <c r="F76" s="275"/>
      <c r="G76" s="275"/>
      <c r="H76" s="275"/>
      <c r="I76" s="275"/>
      <c r="J76" s="275"/>
      <c r="K76" s="275"/>
      <c r="L76" s="275"/>
      <c r="M76" s="694"/>
      <c r="N76" s="694"/>
      <c r="Q76" s="332"/>
      <c r="R76" s="332"/>
    </row>
    <row r="77" spans="2:18" ht="79.5" customHeight="1" x14ac:dyDescent="0.25">
      <c r="B77" s="698" t="s">
        <v>5903</v>
      </c>
      <c r="C77" s="698"/>
      <c r="D77" s="698"/>
      <c r="E77" s="493"/>
      <c r="F77" s="493"/>
      <c r="G77" s="297"/>
      <c r="H77" s="297"/>
      <c r="I77" s="248"/>
      <c r="J77" s="248"/>
      <c r="K77" s="248"/>
      <c r="L77" s="248"/>
      <c r="M77" s="699" t="s">
        <v>2485</v>
      </c>
      <c r="N77" s="699"/>
    </row>
  </sheetData>
  <mergeCells count="52">
    <mergeCell ref="B77:D77"/>
    <mergeCell ref="M77:N77"/>
    <mergeCell ref="B42:F42"/>
    <mergeCell ref="B47:N47"/>
    <mergeCell ref="B48:N48"/>
    <mergeCell ref="B55:N55"/>
    <mergeCell ref="B68:N68"/>
    <mergeCell ref="B76:E76"/>
    <mergeCell ref="M76:N76"/>
    <mergeCell ref="B46:N46"/>
    <mergeCell ref="B40:N40"/>
    <mergeCell ref="B41:N41"/>
    <mergeCell ref="B43:N43"/>
    <mergeCell ref="B44:N44"/>
    <mergeCell ref="B45:N45"/>
    <mergeCell ref="C34:I34"/>
    <mergeCell ref="L35:M35"/>
    <mergeCell ref="B36:D38"/>
    <mergeCell ref="L36:M36"/>
    <mergeCell ref="L37:M37"/>
    <mergeCell ref="C33:I33"/>
    <mergeCell ref="C27:I27"/>
    <mergeCell ref="C28:I28"/>
    <mergeCell ref="C29:I29"/>
    <mergeCell ref="C30:I30"/>
    <mergeCell ref="C31:I31"/>
    <mergeCell ref="C32:I32"/>
    <mergeCell ref="C26:I26"/>
    <mergeCell ref="B13:N14"/>
    <mergeCell ref="C16:I16"/>
    <mergeCell ref="C17:I17"/>
    <mergeCell ref="C18:I18"/>
    <mergeCell ref="C19:I19"/>
    <mergeCell ref="C20:I20"/>
    <mergeCell ref="C21:I21"/>
    <mergeCell ref="C22:I22"/>
    <mergeCell ref="C23:I23"/>
    <mergeCell ref="C24:I24"/>
    <mergeCell ref="C25:I25"/>
    <mergeCell ref="G3:K3"/>
    <mergeCell ref="D5:I5"/>
    <mergeCell ref="L5:N5"/>
    <mergeCell ref="D7:I7"/>
    <mergeCell ref="L7:N7"/>
    <mergeCell ref="P5:T5"/>
    <mergeCell ref="D6:I6"/>
    <mergeCell ref="P6:T6"/>
    <mergeCell ref="E10:I10"/>
    <mergeCell ref="L10:N10"/>
    <mergeCell ref="P7:T7"/>
    <mergeCell ref="E8:I8"/>
    <mergeCell ref="D9:I9"/>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5</v>
      </c>
      <c r="H3" s="626"/>
      <c r="I3" s="626"/>
      <c r="J3" s="626"/>
      <c r="K3" s="626"/>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607" t="str">
        <f>VLOOKUP($Q$3,BD_Clientes,2,FALSE)</f>
        <v>YANGZHOU RONGFEI CONSTRUCTION ENGINEERING CO. SUCURSAL DEL PERÚ</v>
      </c>
      <c r="E5" s="607"/>
      <c r="F5" s="607"/>
      <c r="G5" s="607"/>
      <c r="H5" s="607"/>
      <c r="I5" s="607"/>
      <c r="J5" s="344" t="s">
        <v>5893</v>
      </c>
      <c r="L5" s="628" t="str">
        <f>VLOOKUP($Q$3,BD_Clientes,9,FALSE)</f>
        <v>IE Teniente Coronel Néstor Escudero Otero</v>
      </c>
      <c r="M5" s="628"/>
      <c r="N5" s="628"/>
      <c r="P5" s="626">
        <v>222</v>
      </c>
      <c r="Q5" s="626"/>
      <c r="R5" s="626"/>
      <c r="S5" s="626"/>
      <c r="T5" s="626"/>
    </row>
    <row r="6" spans="2:20" ht="24.75" customHeight="1" x14ac:dyDescent="0.3">
      <c r="B6" s="331" t="s">
        <v>5891</v>
      </c>
      <c r="C6" s="331"/>
      <c r="D6" s="607">
        <f>VLOOKUP($Q$3,BD_Clientes,3,FALSE)</f>
        <v>20611390000</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Angela Ferrer</v>
      </c>
      <c r="E7" s="607"/>
      <c r="F7" s="607"/>
      <c r="G7" s="607"/>
      <c r="H7" s="607"/>
      <c r="I7" s="607"/>
      <c r="J7" s="344" t="s">
        <v>5894</v>
      </c>
      <c r="L7" s="628" t="str">
        <f>VLOOKUP($Q$3,BD_Clientes,10,FALSE)</f>
        <v>San Juan de Lurigancho - Lima</v>
      </c>
      <c r="M7" s="628"/>
      <c r="N7" s="628"/>
      <c r="P7" s="627">
        <v>222</v>
      </c>
      <c r="Q7" s="627"/>
      <c r="R7" s="627"/>
      <c r="S7" s="627"/>
      <c r="T7" s="627"/>
    </row>
    <row r="8" spans="2:20" ht="30.75" customHeight="1" x14ac:dyDescent="0.3">
      <c r="B8" s="331" t="s">
        <v>5892</v>
      </c>
      <c r="C8" s="331"/>
      <c r="D8" s="331"/>
      <c r="E8" s="607">
        <f>VLOOKUP($Q$3,BD_Clientes,7,FALSE)</f>
        <v>983092719</v>
      </c>
      <c r="F8" s="607"/>
      <c r="G8" s="607"/>
      <c r="H8" s="607"/>
      <c r="I8" s="607"/>
      <c r="J8" s="347" t="s">
        <v>5895</v>
      </c>
      <c r="K8" s="347"/>
      <c r="L8" s="432" t="s">
        <v>3253</v>
      </c>
      <c r="M8" s="322"/>
      <c r="N8" s="322"/>
      <c r="P8" s="337"/>
      <c r="Q8" s="337"/>
    </row>
    <row r="9" spans="2:20" ht="84.75" customHeight="1" x14ac:dyDescent="0.3">
      <c r="B9" s="331" t="s">
        <v>2506</v>
      </c>
      <c r="C9" s="331"/>
      <c r="D9" s="607" t="str">
        <f>VLOOKUP($Q$3,BD_Clientes,8,FALSE)</f>
        <v>calidad_pq2_076@rongfeiperu.pe / produccion_pq2_076@rongfeiperu.pe / fgomezprocura@rongfei-paq2.com / julioc.silmadrid@gmail.com</v>
      </c>
      <c r="E9" s="607"/>
      <c r="F9" s="607"/>
      <c r="G9" s="607"/>
      <c r="H9" s="607"/>
      <c r="I9" s="607"/>
      <c r="J9" s="346" t="s">
        <v>5915</v>
      </c>
      <c r="K9" s="346"/>
      <c r="L9" s="428">
        <v>982429895</v>
      </c>
      <c r="M9" s="343"/>
      <c r="N9" s="343"/>
    </row>
    <row r="10" spans="2:20" ht="27" customHeight="1" x14ac:dyDescent="0.3">
      <c r="B10" s="346" t="s">
        <v>2504</v>
      </c>
      <c r="C10" s="346"/>
      <c r="D10" s="435"/>
      <c r="E10" s="605">
        <v>46025</v>
      </c>
      <c r="F10" s="605"/>
      <c r="G10" s="605"/>
      <c r="H10" s="605"/>
      <c r="I10" s="605"/>
      <c r="J10" s="346" t="s">
        <v>2507</v>
      </c>
      <c r="K10" s="346"/>
      <c r="L10" s="606">
        <v>46025</v>
      </c>
      <c r="M10" s="606"/>
      <c r="N10" s="606"/>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25" s="269" customFormat="1" ht="26.1" customHeight="1" x14ac:dyDescent="0.3">
      <c r="B17" s="300"/>
      <c r="C17" s="631" t="s">
        <v>6460</v>
      </c>
      <c r="D17" s="632"/>
      <c r="E17" s="632"/>
      <c r="F17" s="632"/>
      <c r="G17" s="632"/>
      <c r="H17" s="632"/>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62" t="s">
        <v>3105</v>
      </c>
      <c r="M29" s="663"/>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71" t="s">
        <v>2516</v>
      </c>
      <c r="M30" s="672"/>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31" t="s">
        <v>5911</v>
      </c>
      <c r="M31" s="633"/>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602" t="s">
        <v>4014</v>
      </c>
      <c r="C33" s="602"/>
      <c r="D33" s="602"/>
      <c r="E33" s="602"/>
      <c r="F33" s="602"/>
      <c r="G33" s="602"/>
      <c r="H33" s="602"/>
      <c r="I33" s="602"/>
      <c r="J33" s="602"/>
      <c r="K33" s="602"/>
      <c r="L33" s="602"/>
      <c r="M33" s="602"/>
      <c r="N33" s="602"/>
      <c r="O33" s="336"/>
      <c r="P33" s="406"/>
      <c r="Q33" s="327"/>
      <c r="R33" s="327"/>
      <c r="S33" s="327"/>
      <c r="T33" s="327"/>
      <c r="U33" s="327"/>
      <c r="V33" s="327"/>
      <c r="W33" s="327"/>
      <c r="X33" s="327"/>
      <c r="Y33" s="327"/>
    </row>
    <row r="34" spans="2:25" s="322" customFormat="1" ht="123.6" customHeight="1" x14ac:dyDescent="0.3">
      <c r="B34" s="590" t="s">
        <v>6461</v>
      </c>
      <c r="C34" s="590"/>
      <c r="D34" s="590"/>
      <c r="E34" s="590"/>
      <c r="F34" s="590"/>
      <c r="G34" s="590"/>
      <c r="H34" s="590"/>
      <c r="I34" s="590"/>
      <c r="J34" s="590"/>
      <c r="K34" s="590"/>
      <c r="L34" s="590"/>
      <c r="M34" s="590"/>
      <c r="N34" s="590"/>
      <c r="O34" s="336"/>
      <c r="P34" s="406"/>
      <c r="Q34" s="327"/>
      <c r="R34" s="327"/>
      <c r="S34" s="327"/>
      <c r="T34" s="327"/>
      <c r="U34" s="327"/>
      <c r="V34" s="327"/>
      <c r="W34" s="327"/>
      <c r="X34" s="327"/>
      <c r="Y34" s="327"/>
    </row>
    <row r="35" spans="2:25" s="322" customFormat="1" ht="123.6" customHeight="1" x14ac:dyDescent="0.3">
      <c r="B35" s="590" t="s">
        <v>5898</v>
      </c>
      <c r="C35" s="590"/>
      <c r="D35" s="590"/>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4" t="s">
        <v>6255</v>
      </c>
      <c r="C36" s="584"/>
      <c r="D36" s="584"/>
      <c r="E36" s="584"/>
      <c r="F36" s="584"/>
      <c r="G36" s="584"/>
      <c r="H36" s="584"/>
      <c r="I36" s="584"/>
      <c r="J36" s="584"/>
      <c r="K36" s="584"/>
      <c r="L36" s="584"/>
      <c r="M36" s="584"/>
      <c r="N36" s="584"/>
      <c r="O36" s="336"/>
      <c r="P36" s="406"/>
      <c r="Q36" s="327"/>
      <c r="R36" s="327"/>
      <c r="S36" s="327"/>
      <c r="T36" s="327"/>
      <c r="U36" s="327"/>
      <c r="V36" s="327"/>
      <c r="W36" s="327"/>
      <c r="X36" s="327"/>
      <c r="Y36" s="327"/>
    </row>
    <row r="37" spans="2:25" ht="68.25" customHeight="1" x14ac:dyDescent="0.3">
      <c r="B37" s="590" t="s">
        <v>4017</v>
      </c>
      <c r="C37" s="590"/>
      <c r="D37" s="590"/>
      <c r="E37" s="590"/>
      <c r="F37" s="590"/>
      <c r="G37" s="590"/>
      <c r="H37" s="590"/>
      <c r="I37" s="590"/>
      <c r="J37" s="590"/>
      <c r="K37" s="590"/>
      <c r="L37" s="590"/>
      <c r="M37" s="590"/>
      <c r="N37" s="590"/>
      <c r="O37" s="270"/>
      <c r="P37" s="404"/>
      <c r="Q37" s="292"/>
      <c r="R37" s="292"/>
      <c r="S37" s="292"/>
      <c r="T37" s="292"/>
      <c r="U37" s="292"/>
      <c r="V37" s="292"/>
      <c r="W37" s="292"/>
      <c r="X37" s="292"/>
      <c r="Y37" s="292"/>
    </row>
    <row r="38" spans="2:25" ht="79.5" customHeight="1" x14ac:dyDescent="0.3">
      <c r="B38" s="590" t="s">
        <v>5900</v>
      </c>
      <c r="C38" s="590"/>
      <c r="D38" s="590"/>
      <c r="E38" s="590"/>
      <c r="F38" s="590"/>
      <c r="G38" s="590"/>
      <c r="H38" s="590"/>
      <c r="I38" s="590"/>
      <c r="J38" s="590"/>
      <c r="K38" s="590"/>
      <c r="L38" s="590"/>
      <c r="M38" s="590"/>
      <c r="N38" s="590"/>
      <c r="O38" s="270"/>
      <c r="P38" s="404"/>
      <c r="Q38" s="292"/>
      <c r="R38" s="292"/>
      <c r="S38" s="292"/>
      <c r="T38" s="292"/>
      <c r="U38" s="292"/>
      <c r="V38" s="292"/>
      <c r="W38" s="292"/>
      <c r="X38" s="292"/>
      <c r="Y38" s="292"/>
    </row>
    <row r="39" spans="2:25" s="322" customFormat="1" ht="82.5" customHeight="1" x14ac:dyDescent="0.3">
      <c r="B39" s="589" t="s">
        <v>5901</v>
      </c>
      <c r="C39" s="589"/>
      <c r="D39" s="589"/>
      <c r="E39" s="589"/>
      <c r="F39" s="589"/>
      <c r="G39" s="589"/>
      <c r="H39" s="589"/>
      <c r="I39" s="589"/>
      <c r="J39" s="589"/>
      <c r="K39" s="589"/>
      <c r="L39" s="589"/>
      <c r="M39" s="589"/>
      <c r="N39" s="589"/>
      <c r="O39" s="323"/>
      <c r="P39" s="324"/>
    </row>
    <row r="40" spans="2:25" s="322" customFormat="1" ht="147.6" customHeight="1" x14ac:dyDescent="0.3">
      <c r="B40" s="590" t="s">
        <v>5907</v>
      </c>
      <c r="C40" s="590"/>
      <c r="D40" s="590"/>
      <c r="E40" s="590"/>
      <c r="F40" s="590"/>
      <c r="G40" s="590"/>
      <c r="H40" s="590"/>
      <c r="I40" s="590"/>
      <c r="J40" s="590"/>
      <c r="K40" s="590"/>
      <c r="L40" s="590"/>
      <c r="M40" s="590"/>
      <c r="N40" s="590"/>
      <c r="O40" s="323"/>
      <c r="P40" s="324"/>
      <c r="Q40" s="325"/>
      <c r="R40" s="326"/>
    </row>
    <row r="41" spans="2:25" s="322" customFormat="1" ht="45.6" customHeight="1" x14ac:dyDescent="0.3">
      <c r="B41" s="590" t="s">
        <v>4015</v>
      </c>
      <c r="C41" s="590"/>
      <c r="D41" s="590"/>
      <c r="E41" s="590"/>
      <c r="F41" s="590"/>
      <c r="G41" s="590"/>
      <c r="H41" s="590"/>
      <c r="I41" s="590"/>
      <c r="J41" s="590"/>
      <c r="K41" s="590"/>
      <c r="L41" s="590"/>
      <c r="M41" s="590"/>
      <c r="N41" s="590"/>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591" t="s">
        <v>2477</v>
      </c>
      <c r="C48" s="591"/>
      <c r="D48" s="591"/>
      <c r="E48" s="591"/>
      <c r="F48" s="591"/>
      <c r="G48" s="591"/>
      <c r="H48" s="591"/>
      <c r="I48" s="591"/>
      <c r="J48" s="591"/>
      <c r="K48" s="591"/>
      <c r="L48" s="591"/>
      <c r="M48" s="591"/>
      <c r="N48" s="591"/>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0" t="s">
        <v>5906</v>
      </c>
      <c r="C61" s="590"/>
      <c r="D61" s="590"/>
      <c r="E61" s="590"/>
      <c r="F61" s="590"/>
      <c r="G61" s="590"/>
      <c r="H61" s="590"/>
      <c r="I61" s="590"/>
      <c r="J61" s="590"/>
      <c r="K61" s="590"/>
      <c r="L61" s="590"/>
      <c r="M61" s="590"/>
      <c r="N61" s="590"/>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4"/>
      <c r="C69" s="584"/>
      <c r="D69" s="584"/>
      <c r="E69" s="584"/>
      <c r="M69" s="585"/>
      <c r="N69" s="585"/>
      <c r="Q69" s="332"/>
      <c r="R69" s="332"/>
    </row>
    <row r="70" spans="2:18" ht="97.5" customHeight="1" x14ac:dyDescent="0.3">
      <c r="B70" s="586" t="s">
        <v>5903</v>
      </c>
      <c r="C70" s="586"/>
      <c r="D70" s="586"/>
      <c r="E70" s="330"/>
      <c r="F70" s="330"/>
      <c r="G70" s="431"/>
      <c r="H70" s="431"/>
      <c r="I70" s="409"/>
      <c r="J70" s="409"/>
      <c r="K70" s="409"/>
      <c r="L70" s="409"/>
      <c r="M70" s="587" t="s">
        <v>2485</v>
      </c>
      <c r="N70" s="587"/>
    </row>
  </sheetData>
  <mergeCells count="45">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G3:K3"/>
    <mergeCell ref="D5:I5"/>
    <mergeCell ref="L5:N5"/>
    <mergeCell ref="D7:I7"/>
    <mergeCell ref="L7:N7"/>
    <mergeCell ref="P5:T5"/>
    <mergeCell ref="D6:I6"/>
    <mergeCell ref="P6:T6"/>
    <mergeCell ref="E10:I10"/>
    <mergeCell ref="L10:N10"/>
    <mergeCell ref="P7:T7"/>
    <mergeCell ref="E8:I8"/>
    <mergeCell ref="D9:I9"/>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23.25"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30"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8.75" customHeight="1" x14ac:dyDescent="0.3">
      <c r="B10" s="346" t="s">
        <v>2504</v>
      </c>
      <c r="C10" s="346"/>
      <c r="D10" s="435"/>
      <c r="E10" s="605">
        <v>45996</v>
      </c>
      <c r="F10" s="605"/>
      <c r="G10" s="605"/>
      <c r="H10" s="605"/>
      <c r="I10" s="605"/>
      <c r="J10" s="346" t="s">
        <v>2507</v>
      </c>
      <c r="K10" s="346"/>
      <c r="L10" s="606">
        <v>45996</v>
      </c>
      <c r="M10" s="606"/>
      <c r="N10" s="606"/>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5.7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25" s="269" customFormat="1" ht="24.9" customHeight="1" x14ac:dyDescent="0.3">
      <c r="B17" s="477"/>
      <c r="C17" s="637" t="s">
        <v>6337</v>
      </c>
      <c r="D17" s="637"/>
      <c r="E17" s="637"/>
      <c r="F17" s="637"/>
      <c r="G17" s="637"/>
      <c r="H17" s="637"/>
      <c r="I17" s="637"/>
      <c r="J17" s="478"/>
      <c r="K17" s="478"/>
      <c r="L17" s="479"/>
      <c r="M17" s="478"/>
      <c r="N17" s="480"/>
      <c r="O17" s="321"/>
    </row>
    <row r="18" spans="2:25" s="269" customFormat="1" ht="36.9"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53" t="str">
        <f>VLOOKUP(B19,ENS.!$B$5:$H$167,2,FALSE)</f>
        <v>Contenido de materia orgánica.</v>
      </c>
      <c r="D19" s="654"/>
      <c r="E19" s="654"/>
      <c r="F19" s="654"/>
      <c r="G19" s="654"/>
      <c r="H19" s="654"/>
      <c r="I19" s="655"/>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53" t="str">
        <f>VLOOKUP(B20,ENS.!$B$5:$H$167,2,FALSE)</f>
        <v>Conductividad térmica / Resistividad térmica</v>
      </c>
      <c r="D20" s="654"/>
      <c r="E20" s="654"/>
      <c r="F20" s="654"/>
      <c r="G20" s="654"/>
      <c r="H20" s="654"/>
      <c r="I20" s="655"/>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62" t="s">
        <v>3105</v>
      </c>
      <c r="M21" s="663"/>
      <c r="N21" s="491">
        <f>SUM(N17:N20)</f>
        <v>1520</v>
      </c>
      <c r="O21" s="270"/>
      <c r="P21" s="404"/>
      <c r="Q21" s="169"/>
      <c r="S21" s="169"/>
      <c r="T21" s="169"/>
      <c r="U21" s="169"/>
      <c r="V21" s="169"/>
      <c r="W21" s="169"/>
      <c r="X21" s="169"/>
      <c r="Y21" s="169"/>
    </row>
    <row r="22" spans="2:25" ht="22.2" customHeight="1" x14ac:dyDescent="0.3">
      <c r="B22" s="586"/>
      <c r="C22" s="586"/>
      <c r="D22" s="586"/>
      <c r="E22" s="169"/>
      <c r="F22" s="169"/>
      <c r="G22" s="169"/>
      <c r="H22" s="169"/>
      <c r="I22" s="169"/>
      <c r="J22" s="169"/>
      <c r="K22" s="169"/>
      <c r="L22" s="671" t="s">
        <v>2516</v>
      </c>
      <c r="M22" s="672"/>
      <c r="N22" s="491">
        <f>+N21*0.18</f>
        <v>273.59999999999997</v>
      </c>
      <c r="O22" s="270"/>
      <c r="P22" s="404"/>
      <c r="Q22" s="169"/>
      <c r="R22" s="169"/>
      <c r="S22" s="169"/>
      <c r="T22" s="169"/>
      <c r="U22" s="169"/>
      <c r="V22" s="169"/>
      <c r="W22" s="169"/>
      <c r="X22" s="169"/>
      <c r="Y22" s="169"/>
    </row>
    <row r="23" spans="2:25" ht="22.2" customHeight="1" x14ac:dyDescent="0.3">
      <c r="B23" s="586"/>
      <c r="C23" s="586"/>
      <c r="D23" s="586"/>
      <c r="E23" s="169"/>
      <c r="F23" s="169"/>
      <c r="G23" s="169"/>
      <c r="H23" s="169"/>
      <c r="I23" s="169"/>
      <c r="J23" s="169"/>
      <c r="K23" s="169"/>
      <c r="L23" s="631" t="s">
        <v>5911</v>
      </c>
      <c r="M23" s="633"/>
      <c r="N23" s="492">
        <f>+N21+N22</f>
        <v>1793.6</v>
      </c>
      <c r="O23" s="270"/>
      <c r="P23" s="404"/>
      <c r="Q23" s="292"/>
      <c r="R23" s="292"/>
      <c r="S23" s="292"/>
      <c r="T23" s="292"/>
      <c r="U23" s="292"/>
      <c r="V23" s="292"/>
      <c r="W23" s="292"/>
      <c r="X23" s="292"/>
      <c r="Y23" s="292"/>
    </row>
    <row r="24" spans="2:25" ht="22.2" customHeight="1" x14ac:dyDescent="0.3">
      <c r="B24" s="586"/>
      <c r="C24" s="586"/>
      <c r="D24" s="586"/>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6" t="s">
        <v>6212</v>
      </c>
      <c r="C26" s="696"/>
      <c r="D26" s="696"/>
      <c r="E26" s="696"/>
      <c r="F26" s="696"/>
      <c r="G26" s="696"/>
      <c r="H26" s="696"/>
      <c r="I26" s="696"/>
      <c r="J26" s="696"/>
      <c r="K26" s="696"/>
      <c r="L26" s="696"/>
      <c r="M26" s="696"/>
      <c r="N26" s="696"/>
      <c r="O26" s="336"/>
      <c r="P26" s="406"/>
      <c r="Q26" s="327"/>
      <c r="R26" s="327"/>
      <c r="S26" s="327"/>
      <c r="T26" s="327"/>
      <c r="U26" s="327"/>
      <c r="V26" s="327"/>
      <c r="W26" s="327"/>
      <c r="X26" s="327"/>
      <c r="Y26" s="327"/>
    </row>
    <row r="27" spans="2:25" s="322" customFormat="1" ht="96.75" customHeight="1" x14ac:dyDescent="0.3">
      <c r="B27" s="697" t="s">
        <v>6338</v>
      </c>
      <c r="C27" s="697"/>
      <c r="D27" s="697"/>
      <c r="E27" s="697"/>
      <c r="F27" s="697"/>
      <c r="G27" s="697"/>
      <c r="H27" s="697"/>
      <c r="I27" s="697"/>
      <c r="J27" s="697"/>
      <c r="K27" s="697"/>
      <c r="L27" s="697"/>
      <c r="M27" s="697"/>
      <c r="N27" s="697"/>
      <c r="O27" s="336"/>
      <c r="P27" s="406"/>
      <c r="Q27" s="327"/>
      <c r="R27" s="327"/>
      <c r="S27" s="327"/>
      <c r="T27" s="327"/>
      <c r="U27" s="327"/>
      <c r="V27" s="327"/>
      <c r="W27" s="327"/>
      <c r="X27" s="327"/>
      <c r="Y27" s="327"/>
    </row>
    <row r="28" spans="2:25" s="322" customFormat="1" ht="96" customHeight="1" x14ac:dyDescent="0.3">
      <c r="B28" s="642" t="s">
        <v>6339</v>
      </c>
      <c r="C28" s="642"/>
      <c r="D28" s="642"/>
      <c r="E28" s="642"/>
      <c r="F28" s="642"/>
      <c r="G28" s="642"/>
      <c r="H28" s="642"/>
      <c r="I28" s="642"/>
      <c r="J28" s="642"/>
      <c r="K28" s="642"/>
      <c r="L28" s="642"/>
      <c r="M28" s="642"/>
      <c r="N28" s="642"/>
      <c r="O28" s="336"/>
      <c r="P28" s="406"/>
      <c r="Q28" s="327"/>
      <c r="R28" s="327"/>
      <c r="S28" s="327"/>
      <c r="T28" s="327"/>
      <c r="U28" s="327"/>
      <c r="V28" s="327"/>
      <c r="W28" s="327"/>
      <c r="X28" s="327"/>
      <c r="Y28" s="327"/>
    </row>
    <row r="29" spans="2:25" s="322" customFormat="1" ht="149.25" customHeight="1" x14ac:dyDescent="0.25">
      <c r="B29" s="698" t="s">
        <v>5898</v>
      </c>
      <c r="C29" s="698"/>
      <c r="D29" s="698"/>
      <c r="E29" s="698"/>
      <c r="F29" s="698"/>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89" t="s">
        <v>6215</v>
      </c>
      <c r="C33" s="689"/>
      <c r="D33" s="689"/>
      <c r="E33" s="689"/>
      <c r="F33" s="689"/>
      <c r="G33" s="689"/>
      <c r="H33" s="689"/>
      <c r="I33" s="689"/>
      <c r="J33" s="689"/>
      <c r="K33" s="689"/>
      <c r="L33" s="689"/>
      <c r="M33" s="689"/>
      <c r="N33" s="689"/>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5" t="s">
        <v>2477</v>
      </c>
      <c r="C42" s="695"/>
      <c r="D42" s="695"/>
      <c r="E42" s="695"/>
      <c r="F42" s="695"/>
      <c r="G42" s="695"/>
      <c r="H42" s="695"/>
      <c r="I42" s="695"/>
      <c r="J42" s="695"/>
      <c r="K42" s="695"/>
      <c r="L42" s="695"/>
      <c r="M42" s="695"/>
      <c r="N42" s="695"/>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2"/>
      <c r="C63" s="642"/>
      <c r="D63" s="642"/>
      <c r="E63" s="642"/>
      <c r="F63" s="275"/>
      <c r="G63" s="275"/>
      <c r="H63" s="275"/>
      <c r="I63" s="275"/>
      <c r="J63" s="275"/>
      <c r="K63" s="275"/>
      <c r="L63" s="275"/>
      <c r="M63" s="694"/>
      <c r="N63" s="694"/>
      <c r="Q63" s="332"/>
      <c r="R63" s="332"/>
    </row>
    <row r="64" spans="2:18" ht="79.5" customHeight="1" x14ac:dyDescent="0.25">
      <c r="B64" s="698" t="s">
        <v>5903</v>
      </c>
      <c r="C64" s="698"/>
      <c r="D64" s="698"/>
      <c r="E64" s="493"/>
      <c r="F64" s="493"/>
      <c r="G64" s="297"/>
      <c r="H64" s="297"/>
      <c r="I64" s="248"/>
      <c r="J64" s="248"/>
      <c r="K64" s="248"/>
      <c r="L64" s="248"/>
      <c r="M64" s="699" t="s">
        <v>2485</v>
      </c>
      <c r="N64" s="699"/>
    </row>
  </sheetData>
  <mergeCells count="38">
    <mergeCell ref="B64:D64"/>
    <mergeCell ref="M64:N64"/>
    <mergeCell ref="B33:N33"/>
    <mergeCell ref="B34:N34"/>
    <mergeCell ref="B35:N35"/>
    <mergeCell ref="B42:N42"/>
    <mergeCell ref="B55:N55"/>
    <mergeCell ref="B63:E63"/>
    <mergeCell ref="M63:N63"/>
    <mergeCell ref="B32:N32"/>
    <mergeCell ref="L21:M21"/>
    <mergeCell ref="B22:D24"/>
    <mergeCell ref="L22:M22"/>
    <mergeCell ref="L23:M23"/>
    <mergeCell ref="B26:N26"/>
    <mergeCell ref="B27:N27"/>
    <mergeCell ref="B29:F29"/>
    <mergeCell ref="B28:N28"/>
    <mergeCell ref="B31:N31"/>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607" t="str">
        <f>VLOOKUP($Q$3,BD_Clientes,2,FALSE)</f>
        <v>CONSULTORIA &amp; CONSTRUCCION GRUPO PERGOLA SAC</v>
      </c>
      <c r="E5" s="607"/>
      <c r="F5" s="607"/>
      <c r="G5" s="607"/>
      <c r="H5" s="607"/>
      <c r="I5" s="607"/>
      <c r="J5" s="344" t="s">
        <v>5893</v>
      </c>
      <c r="L5" s="628" t="str">
        <f>VLOOKUP($Q$3,BD_Clientes,9,FALSE)</f>
        <v>Creación del Servicio de Movilidad Urbana en Cinco (5) Pasos a Desnivel Elevado (Puentes Vehiculares) en el Eje Vial de la Av. Próceres</v>
      </c>
      <c r="M5" s="628"/>
      <c r="N5" s="628"/>
      <c r="P5" s="626">
        <v>222</v>
      </c>
      <c r="Q5" s="626"/>
      <c r="R5" s="626"/>
      <c r="S5" s="626"/>
      <c r="T5" s="626"/>
    </row>
    <row r="6" spans="2:20" ht="24" customHeight="1" x14ac:dyDescent="0.3">
      <c r="B6" s="331" t="s">
        <v>5891</v>
      </c>
      <c r="C6" s="331"/>
      <c r="D6" s="607">
        <f>VLOOKUP($Q$3,BD_Clientes,3,FALSE)</f>
        <v>20602842330</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Ing. Melchor Bartra G. / Carla Gonzales</v>
      </c>
      <c r="E7" s="607"/>
      <c r="F7" s="607"/>
      <c r="G7" s="607"/>
      <c r="H7" s="607"/>
      <c r="I7" s="607"/>
      <c r="J7" s="344" t="s">
        <v>5894</v>
      </c>
      <c r="L7" s="628" t="str">
        <f>VLOOKUP($Q$3,BD_Clientes,10,FALSE)</f>
        <v>San Juan de Lurigancho - Lima</v>
      </c>
      <c r="M7" s="628"/>
      <c r="N7" s="628"/>
      <c r="P7" s="627">
        <v>222</v>
      </c>
      <c r="Q7" s="627"/>
      <c r="R7" s="627"/>
      <c r="S7" s="627"/>
      <c r="T7" s="627"/>
    </row>
    <row r="8" spans="2:20" ht="33.75" customHeight="1" x14ac:dyDescent="0.3">
      <c r="B8" s="331" t="s">
        <v>5892</v>
      </c>
      <c r="C8" s="331"/>
      <c r="D8" s="331"/>
      <c r="E8" s="607" t="str">
        <f>VLOOKUP($Q$3,BD_Clientes,7,FALSE)</f>
        <v>942485869 / 941487229</v>
      </c>
      <c r="F8" s="607"/>
      <c r="G8" s="607"/>
      <c r="H8" s="607"/>
      <c r="I8" s="607"/>
      <c r="J8" s="347" t="s">
        <v>5895</v>
      </c>
      <c r="K8" s="347"/>
      <c r="L8" s="432" t="s">
        <v>3253</v>
      </c>
      <c r="M8" s="322"/>
      <c r="N8" s="322"/>
      <c r="P8" s="337"/>
      <c r="Q8" s="337"/>
    </row>
    <row r="9" spans="2:20" ht="52.5" customHeight="1" x14ac:dyDescent="0.3">
      <c r="B9" s="331" t="s">
        <v>2506</v>
      </c>
      <c r="C9" s="331"/>
      <c r="D9" s="607" t="str">
        <f>VLOOKUP($Q$3,BD_Clientes,8,FALSE)</f>
        <v>mbartra01@hotmail.com / cgonzales@grupopergola.com</v>
      </c>
      <c r="E9" s="607"/>
      <c r="F9" s="607"/>
      <c r="G9" s="607"/>
      <c r="H9" s="607"/>
      <c r="I9" s="607"/>
      <c r="J9" s="346" t="s">
        <v>5915</v>
      </c>
      <c r="K9" s="346"/>
      <c r="L9" s="428">
        <v>982429895</v>
      </c>
      <c r="M9" s="343"/>
      <c r="N9" s="343"/>
    </row>
    <row r="10" spans="2:20" ht="40.5" customHeight="1" x14ac:dyDescent="0.3">
      <c r="B10" s="346" t="s">
        <v>2504</v>
      </c>
      <c r="C10" s="346"/>
      <c r="D10" s="435"/>
      <c r="E10" s="605">
        <v>46003</v>
      </c>
      <c r="F10" s="605"/>
      <c r="G10" s="605"/>
      <c r="H10" s="605"/>
      <c r="I10" s="605"/>
      <c r="J10" s="346" t="s">
        <v>2507</v>
      </c>
      <c r="K10" s="346"/>
      <c r="L10" s="606">
        <v>46003</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593" t="s">
        <v>3105</v>
      </c>
      <c r="M19" s="594"/>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37.25" customHeight="1" x14ac:dyDescent="0.3">
      <c r="B24" s="590" t="s">
        <v>6366</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09.5" customHeight="1" x14ac:dyDescent="0.3">
      <c r="B25" s="584" t="s">
        <v>6365</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87.7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107.25" customHeight="1" x14ac:dyDescent="0.3">
      <c r="B29" s="589" t="s">
        <v>5901</v>
      </c>
      <c r="C29" s="589"/>
      <c r="D29" s="589"/>
      <c r="E29" s="589"/>
      <c r="F29" s="589"/>
      <c r="G29" s="589"/>
      <c r="H29" s="589"/>
      <c r="I29" s="589"/>
      <c r="J29" s="589"/>
      <c r="K29" s="589"/>
      <c r="L29" s="589"/>
      <c r="M29" s="589"/>
      <c r="N29" s="589"/>
      <c r="O29" s="323"/>
      <c r="P29" s="324"/>
    </row>
    <row r="30" spans="2:25" s="322" customFormat="1" ht="158.25"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591" t="s">
        <v>2477</v>
      </c>
      <c r="C38" s="591"/>
      <c r="D38" s="591"/>
      <c r="E38" s="591"/>
      <c r="F38" s="591"/>
      <c r="G38" s="591"/>
      <c r="H38" s="591"/>
      <c r="I38" s="591"/>
      <c r="J38" s="591"/>
      <c r="K38" s="591"/>
      <c r="L38" s="591"/>
      <c r="M38" s="591"/>
      <c r="N38" s="591"/>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5">
    <mergeCell ref="B38:N38"/>
    <mergeCell ref="B51:N51"/>
    <mergeCell ref="B59:E59"/>
    <mergeCell ref="M59:N59"/>
    <mergeCell ref="B60:D60"/>
    <mergeCell ref="M60:N60"/>
    <mergeCell ref="B31:N31"/>
    <mergeCell ref="L19:M19"/>
    <mergeCell ref="L20:M20"/>
    <mergeCell ref="L21:M21"/>
    <mergeCell ref="B23:N23"/>
    <mergeCell ref="B24:N24"/>
    <mergeCell ref="B25:N25"/>
    <mergeCell ref="B26:D26"/>
    <mergeCell ref="B27:N27"/>
    <mergeCell ref="B28:N28"/>
    <mergeCell ref="B29:N29"/>
    <mergeCell ref="B30:N30"/>
    <mergeCell ref="B13:N14"/>
    <mergeCell ref="C16:I16"/>
    <mergeCell ref="C17:I17"/>
    <mergeCell ref="C18:I18"/>
    <mergeCell ref="D7:I7"/>
    <mergeCell ref="L7:N7"/>
    <mergeCell ref="P7:T7"/>
    <mergeCell ref="E8:I8"/>
    <mergeCell ref="D9:I9"/>
    <mergeCell ref="E10:I10"/>
    <mergeCell ref="L10:N10"/>
    <mergeCell ref="G3:K3"/>
    <mergeCell ref="D5:I5"/>
    <mergeCell ref="L5:N5"/>
    <mergeCell ref="P5:T5"/>
    <mergeCell ref="D6:I6"/>
    <mergeCell ref="P6:T6"/>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40</v>
      </c>
      <c r="H3" s="626"/>
      <c r="I3" s="626"/>
      <c r="J3" s="626"/>
      <c r="K3" s="626"/>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ELITE INGENIEROS CONTRATISTAS GENERALES EIRL.</v>
      </c>
      <c r="E5" s="607"/>
      <c r="F5" s="607"/>
      <c r="G5" s="607"/>
      <c r="H5" s="607"/>
      <c r="I5" s="607"/>
      <c r="J5" s="344" t="s">
        <v>5893</v>
      </c>
      <c r="L5" s="628" t="str">
        <f>VLOOKUP($Q$3,BD_Clientes,9,FALSE)</f>
        <v>-</v>
      </c>
      <c r="M5" s="628"/>
      <c r="N5" s="628"/>
      <c r="P5" s="626">
        <v>222</v>
      </c>
      <c r="Q5" s="626"/>
      <c r="R5" s="626"/>
      <c r="S5" s="626"/>
      <c r="T5" s="626"/>
    </row>
    <row r="6" spans="2:20" ht="24" customHeight="1" x14ac:dyDescent="0.3">
      <c r="B6" s="331" t="s">
        <v>5891</v>
      </c>
      <c r="C6" s="331"/>
      <c r="D6" s="607">
        <f>VLOOKUP($Q$3,BD_Clientes,3,FALSE)</f>
        <v>20452795532</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Ing. Gabriela Prado</v>
      </c>
      <c r="E7" s="607"/>
      <c r="F7" s="607"/>
      <c r="G7" s="607"/>
      <c r="H7" s="607"/>
      <c r="I7" s="607"/>
      <c r="J7" s="344" t="s">
        <v>5894</v>
      </c>
      <c r="L7" s="628" t="str">
        <f>VLOOKUP($Q$3,BD_Clientes,10,FALSE)</f>
        <v xml:space="preserve">Huaral </v>
      </c>
      <c r="M7" s="628"/>
      <c r="N7" s="628"/>
      <c r="P7" s="627">
        <v>222</v>
      </c>
      <c r="Q7" s="627"/>
      <c r="R7" s="627"/>
      <c r="S7" s="627"/>
      <c r="T7" s="627"/>
    </row>
    <row r="8" spans="2:20" ht="34.5" customHeight="1" x14ac:dyDescent="0.3">
      <c r="B8" s="331" t="s">
        <v>5892</v>
      </c>
      <c r="C8" s="331"/>
      <c r="D8" s="331"/>
      <c r="E8" s="607">
        <f>VLOOKUP($Q$3,BD_Clientes,7,FALSE)</f>
        <v>912565378</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ing.gaby.prado@gmail.com</v>
      </c>
      <c r="E9" s="607"/>
      <c r="F9" s="607"/>
      <c r="G9" s="607"/>
      <c r="H9" s="607"/>
      <c r="I9" s="607"/>
      <c r="J9" s="346" t="s">
        <v>5915</v>
      </c>
      <c r="K9" s="346"/>
      <c r="L9" s="428">
        <v>982429895</v>
      </c>
      <c r="M9" s="343"/>
      <c r="N9" s="343"/>
    </row>
    <row r="10" spans="2:20" ht="40.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602" t="s">
        <v>4014</v>
      </c>
      <c r="C25" s="602"/>
      <c r="D25" s="602"/>
      <c r="E25" s="602"/>
      <c r="F25" s="602"/>
      <c r="G25" s="602"/>
      <c r="H25" s="602"/>
      <c r="I25" s="602"/>
      <c r="J25" s="602"/>
      <c r="K25" s="602"/>
      <c r="L25" s="602"/>
      <c r="M25" s="602"/>
      <c r="N25" s="602"/>
      <c r="O25" s="336"/>
      <c r="P25" s="406"/>
      <c r="Q25" s="327"/>
      <c r="R25" s="327"/>
      <c r="S25" s="327"/>
      <c r="T25" s="327"/>
      <c r="U25" s="327"/>
      <c r="V25" s="327"/>
      <c r="W25" s="327"/>
      <c r="X25" s="327"/>
      <c r="Y25" s="327"/>
    </row>
    <row r="26" spans="2:25" s="322" customFormat="1" ht="123.6" customHeight="1" x14ac:dyDescent="0.3">
      <c r="B26" s="590" t="s">
        <v>6361</v>
      </c>
      <c r="C26" s="590"/>
      <c r="D26" s="590"/>
      <c r="E26" s="590"/>
      <c r="F26" s="590"/>
      <c r="G26" s="590"/>
      <c r="H26" s="590"/>
      <c r="I26" s="590"/>
      <c r="J26" s="590"/>
      <c r="K26" s="590"/>
      <c r="L26" s="590"/>
      <c r="M26" s="590"/>
      <c r="N26" s="590"/>
      <c r="O26" s="336"/>
      <c r="P26" s="406"/>
      <c r="Q26" s="327"/>
      <c r="R26" s="327"/>
      <c r="S26" s="327"/>
      <c r="T26" s="327"/>
      <c r="U26" s="327"/>
      <c r="V26" s="327"/>
      <c r="W26" s="327"/>
      <c r="X26" s="327"/>
      <c r="Y26" s="327"/>
    </row>
    <row r="27" spans="2:25" s="322" customFormat="1" ht="109.5" customHeight="1" x14ac:dyDescent="0.3">
      <c r="B27" s="584" t="s">
        <v>6194</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s="322" customFormat="1" ht="87.75" customHeight="1" x14ac:dyDescent="0.3">
      <c r="B28" s="586" t="s">
        <v>5898</v>
      </c>
      <c r="C28" s="586"/>
      <c r="D28" s="586"/>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0" t="s">
        <v>4017</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ht="79.5" customHeight="1" x14ac:dyDescent="0.3">
      <c r="B30" s="590" t="s">
        <v>5900</v>
      </c>
      <c r="C30" s="590"/>
      <c r="D30" s="590"/>
      <c r="E30" s="590"/>
      <c r="F30" s="590"/>
      <c r="G30" s="590"/>
      <c r="H30" s="590"/>
      <c r="I30" s="590"/>
      <c r="J30" s="590"/>
      <c r="K30" s="590"/>
      <c r="L30" s="590"/>
      <c r="M30" s="590"/>
      <c r="N30" s="590"/>
      <c r="O30" s="270"/>
      <c r="P30" s="404"/>
      <c r="Q30" s="292"/>
      <c r="R30" s="292"/>
      <c r="S30" s="292"/>
      <c r="T30" s="292"/>
      <c r="U30" s="292"/>
      <c r="V30" s="292"/>
      <c r="W30" s="292"/>
      <c r="X30" s="292"/>
      <c r="Y30" s="292"/>
    </row>
    <row r="31" spans="2:25" s="322" customFormat="1" ht="82.5" customHeight="1" x14ac:dyDescent="0.3">
      <c r="B31" s="589" t="s">
        <v>5901</v>
      </c>
      <c r="C31" s="589"/>
      <c r="D31" s="589"/>
      <c r="E31" s="589"/>
      <c r="F31" s="589"/>
      <c r="G31" s="589"/>
      <c r="H31" s="589"/>
      <c r="I31" s="589"/>
      <c r="J31" s="589"/>
      <c r="K31" s="589"/>
      <c r="L31" s="589"/>
      <c r="M31" s="589"/>
      <c r="N31" s="589"/>
      <c r="O31" s="323"/>
      <c r="P31" s="324"/>
    </row>
    <row r="32" spans="2:25" s="322" customFormat="1" ht="147.6" customHeight="1" x14ac:dyDescent="0.3">
      <c r="B32" s="590" t="s">
        <v>5907</v>
      </c>
      <c r="C32" s="590"/>
      <c r="D32" s="590"/>
      <c r="E32" s="590"/>
      <c r="F32" s="590"/>
      <c r="G32" s="590"/>
      <c r="H32" s="590"/>
      <c r="I32" s="590"/>
      <c r="J32" s="590"/>
      <c r="K32" s="590"/>
      <c r="L32" s="590"/>
      <c r="M32" s="590"/>
      <c r="N32" s="590"/>
      <c r="O32" s="323"/>
      <c r="P32" s="324"/>
      <c r="Q32" s="325"/>
      <c r="R32" s="326"/>
    </row>
    <row r="33" spans="2:25" s="322" customFormat="1" ht="45.6" customHeight="1" x14ac:dyDescent="0.3">
      <c r="B33" s="590" t="s">
        <v>4015</v>
      </c>
      <c r="C33" s="590"/>
      <c r="D33" s="590"/>
      <c r="E33" s="590"/>
      <c r="F33" s="590"/>
      <c r="G33" s="590"/>
      <c r="H33" s="590"/>
      <c r="I33" s="590"/>
      <c r="J33" s="590"/>
      <c r="K33" s="590"/>
      <c r="L33" s="590"/>
      <c r="M33" s="590"/>
      <c r="N33" s="590"/>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591" t="s">
        <v>2477</v>
      </c>
      <c r="C40" s="591"/>
      <c r="D40" s="591"/>
      <c r="E40" s="591"/>
      <c r="F40" s="591"/>
      <c r="G40" s="591"/>
      <c r="H40" s="591"/>
      <c r="I40" s="591"/>
      <c r="J40" s="591"/>
      <c r="K40" s="591"/>
      <c r="L40" s="591"/>
      <c r="M40" s="591"/>
      <c r="N40" s="591"/>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0" t="s">
        <v>5906</v>
      </c>
      <c r="C53" s="590"/>
      <c r="D53" s="590"/>
      <c r="E53" s="590"/>
      <c r="F53" s="590"/>
      <c r="G53" s="590"/>
      <c r="H53" s="590"/>
      <c r="I53" s="590"/>
      <c r="J53" s="590"/>
      <c r="K53" s="590"/>
      <c r="L53" s="590"/>
      <c r="M53" s="590"/>
      <c r="N53" s="590"/>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4"/>
      <c r="C61" s="584"/>
      <c r="D61" s="584"/>
      <c r="E61" s="584"/>
      <c r="M61" s="585"/>
      <c r="N61" s="585"/>
      <c r="Q61" s="332"/>
      <c r="R61" s="332"/>
    </row>
    <row r="62" spans="2:18" ht="51" customHeight="1" x14ac:dyDescent="0.3">
      <c r="B62" s="586" t="s">
        <v>5903</v>
      </c>
      <c r="C62" s="586"/>
      <c r="D62" s="586"/>
      <c r="E62" s="330"/>
      <c r="F62" s="330"/>
      <c r="G62" s="431"/>
      <c r="H62" s="431"/>
      <c r="I62" s="409"/>
      <c r="J62" s="409"/>
      <c r="K62" s="409"/>
      <c r="L62" s="409"/>
      <c r="M62" s="587" t="s">
        <v>2485</v>
      </c>
      <c r="N62" s="587"/>
    </row>
  </sheetData>
  <mergeCells count="37">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0:N30"/>
    <mergeCell ref="C20:I20"/>
    <mergeCell ref="L21:M21"/>
    <mergeCell ref="L22:M22"/>
    <mergeCell ref="L23:M23"/>
    <mergeCell ref="B25:N25"/>
    <mergeCell ref="B26:N26"/>
    <mergeCell ref="B27:N27"/>
    <mergeCell ref="B28:D28"/>
    <mergeCell ref="B29:N29"/>
    <mergeCell ref="B62:D62"/>
    <mergeCell ref="M62:N62"/>
    <mergeCell ref="B31:N31"/>
    <mergeCell ref="B32:N32"/>
    <mergeCell ref="B33:N33"/>
    <mergeCell ref="B40:N40"/>
    <mergeCell ref="B53:N53"/>
    <mergeCell ref="B61:E61"/>
    <mergeCell ref="M61:N61"/>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28</v>
      </c>
      <c r="H3" s="626"/>
      <c r="I3" s="626"/>
      <c r="J3" s="626"/>
      <c r="K3" s="626"/>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DESIGN INGENIERIA Y CONSTRUCCION S.A.C.</v>
      </c>
      <c r="E5" s="607"/>
      <c r="F5" s="607"/>
      <c r="G5" s="607"/>
      <c r="H5" s="607"/>
      <c r="I5" s="607"/>
      <c r="J5" s="344" t="s">
        <v>5893</v>
      </c>
      <c r="L5" s="628" t="str">
        <f>VLOOKUP($Q$3,BD_Clientes,9,FALSE)</f>
        <v>Fuerza Aerea del Perú</v>
      </c>
      <c r="M5" s="628"/>
      <c r="N5" s="628"/>
      <c r="P5" s="626">
        <v>222</v>
      </c>
      <c r="Q5" s="626"/>
      <c r="R5" s="626"/>
      <c r="S5" s="626"/>
      <c r="T5" s="626"/>
    </row>
    <row r="6" spans="2:20" ht="28.2" customHeight="1" x14ac:dyDescent="0.3">
      <c r="B6" s="331" t="s">
        <v>5891</v>
      </c>
      <c r="C6" s="331"/>
      <c r="D6" s="607">
        <f>VLOOKUP($Q$3,BD_Clientes,3,FALSE)</f>
        <v>20479906701</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Kevin Silva Zamora</v>
      </c>
      <c r="E7" s="607"/>
      <c r="F7" s="607"/>
      <c r="G7" s="607"/>
      <c r="H7" s="607"/>
      <c r="I7" s="607"/>
      <c r="J7" s="344" t="s">
        <v>5894</v>
      </c>
      <c r="L7" s="628" t="str">
        <f>VLOOKUP($Q$3,BD_Clientes,10,FALSE)</f>
        <v>Callao</v>
      </c>
      <c r="M7" s="628"/>
      <c r="N7" s="628"/>
      <c r="P7" s="627">
        <v>222</v>
      </c>
      <c r="Q7" s="627"/>
      <c r="R7" s="627"/>
      <c r="S7" s="627"/>
      <c r="T7" s="627"/>
    </row>
    <row r="8" spans="2:20" ht="31.5" customHeight="1" x14ac:dyDescent="0.3">
      <c r="B8" s="331" t="s">
        <v>5892</v>
      </c>
      <c r="C8" s="331"/>
      <c r="D8" s="331"/>
      <c r="E8" s="607">
        <f>VLOOKUP($Q$3,BD_Clientes,7,FALSE)</f>
        <v>965232697</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kevin.silva@design.pe</v>
      </c>
      <c r="E9" s="607"/>
      <c r="F9" s="607"/>
      <c r="G9" s="607"/>
      <c r="H9" s="607"/>
      <c r="I9" s="607"/>
      <c r="J9" s="346" t="s">
        <v>5915</v>
      </c>
      <c r="K9" s="346"/>
      <c r="L9" s="428">
        <v>982429895</v>
      </c>
      <c r="M9" s="343"/>
      <c r="N9" s="343"/>
    </row>
    <row r="10" spans="2:20" ht="33" customHeight="1" x14ac:dyDescent="0.3">
      <c r="B10" s="346" t="s">
        <v>2504</v>
      </c>
      <c r="C10" s="346"/>
      <c r="D10" s="435"/>
      <c r="E10" s="605">
        <v>46029</v>
      </c>
      <c r="F10" s="605"/>
      <c r="G10" s="605"/>
      <c r="H10" s="605"/>
      <c r="I10" s="605"/>
      <c r="J10" s="346" t="s">
        <v>2507</v>
      </c>
      <c r="K10" s="346"/>
      <c r="L10" s="606">
        <v>46029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c r="C17" s="637" t="s">
        <v>6192</v>
      </c>
      <c r="D17" s="637"/>
      <c r="E17" s="637"/>
      <c r="F17" s="637"/>
      <c r="G17" s="637"/>
      <c r="H17" s="637"/>
      <c r="I17" s="637"/>
      <c r="J17" s="260"/>
      <c r="K17" s="260"/>
      <c r="L17" s="445"/>
      <c r="M17" s="260"/>
      <c r="N17" s="262"/>
      <c r="O17" s="321"/>
    </row>
    <row r="18" spans="2:25" s="269" customFormat="1" ht="45" customHeight="1" x14ac:dyDescent="0.3">
      <c r="B18" s="389" t="s">
        <v>1962</v>
      </c>
      <c r="C18" s="592" t="str">
        <f>VLOOKUP(B18,ENS.!$B$5:$H$167,2,FALSE)</f>
        <v>Densidad del suelo IN-SITU, Cono de Arena 6"</v>
      </c>
      <c r="D18" s="592"/>
      <c r="E18" s="592"/>
      <c r="F18" s="592"/>
      <c r="G18" s="592"/>
      <c r="H18" s="592"/>
      <c r="I18" s="592"/>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2" t="str">
        <f>VLOOKUP(B19,ENS.!$B$5:$H$167,2,FALSE)</f>
        <v>Contenido de humedad en suelos</v>
      </c>
      <c r="D19" s="592"/>
      <c r="E19" s="592"/>
      <c r="F19" s="592"/>
      <c r="G19" s="592"/>
      <c r="H19" s="592"/>
      <c r="I19" s="592"/>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593" t="s">
        <v>6202</v>
      </c>
      <c r="M21" s="594"/>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8" t="s">
        <v>2516</v>
      </c>
      <c r="M22" s="599"/>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00" t="s">
        <v>5911</v>
      </c>
      <c r="M23" s="601"/>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602" t="s">
        <v>4014</v>
      </c>
      <c r="C25" s="602"/>
      <c r="D25" s="602"/>
      <c r="E25" s="602"/>
      <c r="F25" s="602"/>
      <c r="G25" s="602"/>
      <c r="H25" s="602"/>
      <c r="I25" s="602"/>
      <c r="J25" s="602"/>
      <c r="K25" s="602"/>
      <c r="L25" s="602"/>
      <c r="M25" s="602"/>
      <c r="N25" s="602"/>
      <c r="O25" s="336"/>
      <c r="P25" s="406"/>
      <c r="Q25" s="327"/>
      <c r="R25" s="327"/>
      <c r="S25" s="327"/>
      <c r="T25" s="327"/>
      <c r="U25" s="327"/>
      <c r="V25" s="327"/>
      <c r="W25" s="327"/>
      <c r="X25" s="327"/>
      <c r="Y25" s="327"/>
    </row>
    <row r="26" spans="2:25" s="322" customFormat="1" ht="123.6" customHeight="1" x14ac:dyDescent="0.3">
      <c r="B26" s="590" t="s">
        <v>6260</v>
      </c>
      <c r="C26" s="590"/>
      <c r="D26" s="590"/>
      <c r="E26" s="590"/>
      <c r="F26" s="590"/>
      <c r="G26" s="590"/>
      <c r="H26" s="590"/>
      <c r="I26" s="590"/>
      <c r="J26" s="590"/>
      <c r="K26" s="590"/>
      <c r="L26" s="590"/>
      <c r="M26" s="590"/>
      <c r="N26" s="590"/>
      <c r="O26" s="336"/>
      <c r="P26" s="406"/>
      <c r="Q26" s="327"/>
      <c r="R26" s="327"/>
      <c r="S26" s="327"/>
      <c r="T26" s="327"/>
      <c r="U26" s="327"/>
      <c r="V26" s="327"/>
      <c r="W26" s="327"/>
      <c r="X26" s="327"/>
      <c r="Y26" s="327"/>
    </row>
    <row r="27" spans="2:25" s="322" customFormat="1" ht="110.25" customHeight="1" x14ac:dyDescent="0.3">
      <c r="B27" s="584" t="s">
        <v>6194</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s="322" customFormat="1" ht="105.75" customHeight="1" x14ac:dyDescent="0.3">
      <c r="B28" s="586" t="s">
        <v>5898</v>
      </c>
      <c r="C28" s="586"/>
      <c r="D28" s="586"/>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0" t="s">
        <v>4017</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ht="79.5" customHeight="1" x14ac:dyDescent="0.3">
      <c r="B30" s="590" t="s">
        <v>5900</v>
      </c>
      <c r="C30" s="590"/>
      <c r="D30" s="590"/>
      <c r="E30" s="590"/>
      <c r="F30" s="590"/>
      <c r="G30" s="590"/>
      <c r="H30" s="590"/>
      <c r="I30" s="590"/>
      <c r="J30" s="590"/>
      <c r="K30" s="590"/>
      <c r="L30" s="590"/>
      <c r="M30" s="590"/>
      <c r="N30" s="590"/>
      <c r="O30" s="270"/>
      <c r="P30" s="404"/>
      <c r="Q30" s="292"/>
      <c r="R30" s="292"/>
      <c r="S30" s="292"/>
      <c r="T30" s="292"/>
      <c r="U30" s="292"/>
      <c r="V30" s="292"/>
      <c r="W30" s="292"/>
      <c r="X30" s="292"/>
      <c r="Y30" s="292"/>
    </row>
    <row r="31" spans="2:25" s="322" customFormat="1" ht="85.5" customHeight="1" x14ac:dyDescent="0.3">
      <c r="B31" s="589" t="s">
        <v>5901</v>
      </c>
      <c r="C31" s="589"/>
      <c r="D31" s="589"/>
      <c r="E31" s="589"/>
      <c r="F31" s="589"/>
      <c r="G31" s="589"/>
      <c r="H31" s="589"/>
      <c r="I31" s="589"/>
      <c r="J31" s="589"/>
      <c r="K31" s="589"/>
      <c r="L31" s="589"/>
      <c r="M31" s="589"/>
      <c r="N31" s="589"/>
      <c r="O31" s="323"/>
      <c r="P31" s="324"/>
    </row>
    <row r="32" spans="2:25" s="322" customFormat="1" ht="147.6" customHeight="1" x14ac:dyDescent="0.3">
      <c r="B32" s="590" t="s">
        <v>5907</v>
      </c>
      <c r="C32" s="590"/>
      <c r="D32" s="590"/>
      <c r="E32" s="590"/>
      <c r="F32" s="590"/>
      <c r="G32" s="590"/>
      <c r="H32" s="590"/>
      <c r="I32" s="590"/>
      <c r="J32" s="590"/>
      <c r="K32" s="590"/>
      <c r="L32" s="590"/>
      <c r="M32" s="590"/>
      <c r="N32" s="590"/>
      <c r="O32" s="323"/>
      <c r="P32" s="324"/>
      <c r="Q32" s="325"/>
      <c r="R32" s="326"/>
    </row>
    <row r="33" spans="2:25" s="322" customFormat="1" ht="45.6" customHeight="1" x14ac:dyDescent="0.3">
      <c r="B33" s="590" t="s">
        <v>4015</v>
      </c>
      <c r="C33" s="590"/>
      <c r="D33" s="590"/>
      <c r="E33" s="590"/>
      <c r="F33" s="590"/>
      <c r="G33" s="590"/>
      <c r="H33" s="590"/>
      <c r="I33" s="590"/>
      <c r="J33" s="590"/>
      <c r="K33" s="590"/>
      <c r="L33" s="590"/>
      <c r="M33" s="590"/>
      <c r="N33" s="590"/>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591" t="s">
        <v>2477</v>
      </c>
      <c r="C40" s="591"/>
      <c r="D40" s="591"/>
      <c r="E40" s="591"/>
      <c r="F40" s="591"/>
      <c r="G40" s="591"/>
      <c r="H40" s="591"/>
      <c r="I40" s="591"/>
      <c r="J40" s="591"/>
      <c r="K40" s="591"/>
      <c r="L40" s="591"/>
      <c r="M40" s="591"/>
      <c r="N40" s="591"/>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0" t="s">
        <v>5906</v>
      </c>
      <c r="C53" s="590"/>
      <c r="D53" s="590"/>
      <c r="E53" s="590"/>
      <c r="F53" s="590"/>
      <c r="G53" s="590"/>
      <c r="H53" s="590"/>
      <c r="I53" s="590"/>
      <c r="J53" s="590"/>
      <c r="K53" s="590"/>
      <c r="L53" s="590"/>
      <c r="M53" s="590"/>
      <c r="N53" s="590"/>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4"/>
      <c r="C61" s="584"/>
      <c r="D61" s="584"/>
      <c r="E61" s="584"/>
      <c r="M61" s="585"/>
      <c r="N61" s="585"/>
      <c r="Q61" s="332"/>
      <c r="R61" s="332"/>
    </row>
    <row r="62" spans="2:18" ht="51" customHeight="1" x14ac:dyDescent="0.3">
      <c r="B62" s="586" t="s">
        <v>5903</v>
      </c>
      <c r="C62" s="586"/>
      <c r="D62" s="586"/>
      <c r="E62" s="330"/>
      <c r="F62" s="330"/>
      <c r="G62" s="431"/>
      <c r="H62" s="431"/>
      <c r="I62" s="409"/>
      <c r="J62" s="409"/>
      <c r="K62" s="409"/>
      <c r="L62" s="409"/>
      <c r="M62" s="587" t="s">
        <v>2485</v>
      </c>
      <c r="N62" s="587"/>
    </row>
  </sheetData>
  <mergeCells count="37">
    <mergeCell ref="B40:N40"/>
    <mergeCell ref="B53:N53"/>
    <mergeCell ref="B61:E61"/>
    <mergeCell ref="M61:N61"/>
    <mergeCell ref="B62:D62"/>
    <mergeCell ref="M62:N62"/>
    <mergeCell ref="B33:N33"/>
    <mergeCell ref="L21:M21"/>
    <mergeCell ref="L22:M22"/>
    <mergeCell ref="L23:M23"/>
    <mergeCell ref="B25:N25"/>
    <mergeCell ref="B26:N26"/>
    <mergeCell ref="B27:N27"/>
    <mergeCell ref="B28:D28"/>
    <mergeCell ref="B29:N29"/>
    <mergeCell ref="B30:N30"/>
    <mergeCell ref="B31:N31"/>
    <mergeCell ref="B32:N32"/>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607" t="str">
        <f>VLOOKUP($Q$3,BD_Clientes,2,FALSE)</f>
        <v>CONSTRUCTORA ALTOMAYO S.A.C.</v>
      </c>
      <c r="E5" s="607"/>
      <c r="F5" s="607"/>
      <c r="G5" s="607"/>
      <c r="H5" s="607"/>
      <c r="I5" s="607"/>
      <c r="J5" s="344" t="s">
        <v>5893</v>
      </c>
      <c r="L5" s="628" t="str">
        <f>VLOOKUP($Q$3,BD_Clientes,9,FALSE)</f>
        <v xml:space="preserve">“Ampliación de los sistemas de agua potable y alcantarillado del sector Paraíso Alto - Sector 308 II etapa” </v>
      </c>
      <c r="M5" s="628"/>
      <c r="N5" s="628"/>
      <c r="P5" s="626">
        <v>222</v>
      </c>
      <c r="Q5" s="626"/>
      <c r="R5" s="626"/>
      <c r="S5" s="626"/>
      <c r="T5" s="626"/>
    </row>
    <row r="6" spans="2:20" ht="28.2" customHeight="1" x14ac:dyDescent="0.3">
      <c r="B6" s="331" t="s">
        <v>5891</v>
      </c>
      <c r="C6" s="331"/>
      <c r="D6" s="607">
        <f>VLOOKUP($Q$3,BD_Clientes,3,FALSE)</f>
        <v>20504718027</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Germán Guzman</v>
      </c>
      <c r="E7" s="607"/>
      <c r="F7" s="607"/>
      <c r="G7" s="607"/>
      <c r="H7" s="607"/>
      <c r="I7" s="607"/>
      <c r="J7" s="344" t="s">
        <v>5894</v>
      </c>
      <c r="L7" s="588" t="str">
        <f>VLOOKUP($Q$3,BD_Clientes,10,FALSE)</f>
        <v xml:space="preserve">Villa María del Triunfo - Lima </v>
      </c>
      <c r="M7" s="588"/>
      <c r="N7" s="588"/>
      <c r="P7" s="627">
        <v>222</v>
      </c>
      <c r="Q7" s="627"/>
      <c r="R7" s="627"/>
      <c r="S7" s="627"/>
      <c r="T7" s="627"/>
    </row>
    <row r="8" spans="2:20" ht="31.5" customHeight="1" x14ac:dyDescent="0.3">
      <c r="B8" s="331" t="s">
        <v>5892</v>
      </c>
      <c r="C8" s="331"/>
      <c r="D8" s="331"/>
      <c r="E8" s="607">
        <f>VLOOKUP($Q$3,BD_Clientes,7,FALSE)</f>
        <v>955346741</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logistica@construyegroup.com</v>
      </c>
      <c r="E9" s="607"/>
      <c r="F9" s="607"/>
      <c r="G9" s="607"/>
      <c r="H9" s="607"/>
      <c r="I9" s="607"/>
      <c r="J9" s="346" t="s">
        <v>5915</v>
      </c>
      <c r="K9" s="346"/>
      <c r="L9" s="428">
        <v>982429895</v>
      </c>
      <c r="M9" s="343"/>
      <c r="N9" s="343"/>
    </row>
    <row r="10" spans="2:20" ht="33" customHeight="1" x14ac:dyDescent="0.3">
      <c r="B10" s="346" t="s">
        <v>2504</v>
      </c>
      <c r="C10" s="346"/>
      <c r="D10" s="435"/>
      <c r="E10" s="605">
        <v>46018</v>
      </c>
      <c r="F10" s="605"/>
      <c r="G10" s="605"/>
      <c r="H10" s="605"/>
      <c r="I10" s="605"/>
      <c r="J10" s="346" t="s">
        <v>2507</v>
      </c>
      <c r="K10" s="346"/>
      <c r="L10" s="606">
        <v>46020</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9.9" customHeight="1" x14ac:dyDescent="0.3">
      <c r="B17" s="389" t="s">
        <v>1962</v>
      </c>
      <c r="C17" s="592" t="str">
        <f>VLOOKUP(B17,ENS.!$B$5:$H$167,2,FALSE)</f>
        <v>Densidad del suelo IN-SITU, Cono de Arena 6"</v>
      </c>
      <c r="D17" s="592"/>
      <c r="E17" s="592"/>
      <c r="F17" s="592"/>
      <c r="G17" s="592"/>
      <c r="H17" s="592"/>
      <c r="I17" s="592"/>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2" t="str">
        <f>VLOOKUP(B18,ENS.!$B$5:$H$167,2,FALSE)</f>
        <v>Movilización de personal y equipo (Densidad campo).</v>
      </c>
      <c r="D18" s="592"/>
      <c r="E18" s="592"/>
      <c r="F18" s="592"/>
      <c r="G18" s="592"/>
      <c r="H18" s="592"/>
      <c r="I18" s="592"/>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593" t="s">
        <v>6202</v>
      </c>
      <c r="M19" s="594"/>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23.6" customHeight="1" x14ac:dyDescent="0.3">
      <c r="B24" s="590" t="s">
        <v>6222</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10.25" customHeight="1" x14ac:dyDescent="0.3">
      <c r="B25" s="584" t="s">
        <v>6194</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0" t="s">
        <v>5898</v>
      </c>
      <c r="C27" s="590"/>
      <c r="D27" s="590"/>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5">
    <mergeCell ref="B39:N39"/>
    <mergeCell ref="B52:N52"/>
    <mergeCell ref="B60:E60"/>
    <mergeCell ref="M60:N60"/>
    <mergeCell ref="B61:D61"/>
    <mergeCell ref="M61:N61"/>
    <mergeCell ref="B32:N32"/>
    <mergeCell ref="L19:M19"/>
    <mergeCell ref="L20:M20"/>
    <mergeCell ref="L21:M21"/>
    <mergeCell ref="B23:N23"/>
    <mergeCell ref="B24:N24"/>
    <mergeCell ref="B25:N25"/>
    <mergeCell ref="B27:D27"/>
    <mergeCell ref="B28:N28"/>
    <mergeCell ref="B29:N29"/>
    <mergeCell ref="B30:N30"/>
    <mergeCell ref="B31:N31"/>
    <mergeCell ref="B13:N14"/>
    <mergeCell ref="C16:I16"/>
    <mergeCell ref="C18:I18"/>
    <mergeCell ref="D7:I7"/>
    <mergeCell ref="L7:N7"/>
    <mergeCell ref="C17:I17"/>
    <mergeCell ref="P7:T7"/>
    <mergeCell ref="E8:I8"/>
    <mergeCell ref="D9:I9"/>
    <mergeCell ref="E10:I10"/>
    <mergeCell ref="L10:N10"/>
    <mergeCell ref="G3:K3"/>
    <mergeCell ref="D5:I5"/>
    <mergeCell ref="L5:N5"/>
    <mergeCell ref="P5:T5"/>
    <mergeCell ref="D6:I6"/>
    <mergeCell ref="P6:T6"/>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46</v>
      </c>
      <c r="H3" s="626"/>
      <c r="I3" s="626"/>
      <c r="J3" s="626"/>
      <c r="K3" s="626"/>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607" t="str">
        <f>VLOOKUP($Q$3,BD_Clientes,2,FALSE)</f>
        <v>CONSTRUCTORA ALTOMAYO S.A.C.</v>
      </c>
      <c r="E5" s="607"/>
      <c r="F5" s="607"/>
      <c r="G5" s="607"/>
      <c r="H5" s="607"/>
      <c r="I5" s="607"/>
      <c r="J5" s="344" t="s">
        <v>5893</v>
      </c>
      <c r="L5" s="628" t="str">
        <f>VLOOKUP($Q$3,BD_Clientes,9,FALSE)</f>
        <v xml:space="preserve">“Ampliación de los sistemas de agua potable y alcantarillado del sector Paraíso Alto - Sector 308 II etapa” </v>
      </c>
      <c r="M5" s="628"/>
      <c r="N5" s="628"/>
      <c r="P5" s="626">
        <v>222</v>
      </c>
      <c r="Q5" s="626"/>
      <c r="R5" s="626"/>
      <c r="S5" s="626"/>
      <c r="T5" s="626"/>
    </row>
    <row r="6" spans="2:20" ht="28.2" customHeight="1" x14ac:dyDescent="0.3">
      <c r="B6" s="331" t="s">
        <v>5891</v>
      </c>
      <c r="C6" s="331"/>
      <c r="D6" s="607">
        <f>VLOOKUP($Q$3,BD_Clientes,3,FALSE)</f>
        <v>20504718027</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Germán Guzman</v>
      </c>
      <c r="E7" s="607"/>
      <c r="F7" s="607"/>
      <c r="G7" s="607"/>
      <c r="H7" s="607"/>
      <c r="I7" s="607"/>
      <c r="J7" s="344" t="s">
        <v>5894</v>
      </c>
      <c r="L7" s="628" t="str">
        <f>VLOOKUP($Q$3,BD_Clientes,10,FALSE)</f>
        <v xml:space="preserve">Villa María del Triunfo - Lima </v>
      </c>
      <c r="M7" s="628"/>
      <c r="N7" s="628"/>
      <c r="P7" s="627">
        <v>222</v>
      </c>
      <c r="Q7" s="627"/>
      <c r="R7" s="627"/>
      <c r="S7" s="627"/>
      <c r="T7" s="627"/>
    </row>
    <row r="8" spans="2:20" ht="31.5" customHeight="1" x14ac:dyDescent="0.3">
      <c r="B8" s="331" t="s">
        <v>5892</v>
      </c>
      <c r="C8" s="331"/>
      <c r="D8" s="331"/>
      <c r="E8" s="607">
        <f>VLOOKUP($Q$3,BD_Clientes,7,FALSE)</f>
        <v>955346741</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logistica@construyegroup.com</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c r="C17" s="637" t="s">
        <v>6272</v>
      </c>
      <c r="D17" s="637"/>
      <c r="E17" s="637"/>
      <c r="F17" s="637"/>
      <c r="G17" s="637"/>
      <c r="H17" s="637"/>
      <c r="I17" s="637"/>
      <c r="J17" s="260"/>
      <c r="K17" s="260"/>
      <c r="L17" s="445"/>
      <c r="M17" s="260"/>
      <c r="N17" s="262"/>
      <c r="O17" s="321"/>
    </row>
    <row r="18" spans="2:25" s="269" customFormat="1" ht="45" customHeight="1" x14ac:dyDescent="0.3">
      <c r="B18" s="389" t="s">
        <v>1962</v>
      </c>
      <c r="C18" s="592" t="str">
        <f>VLOOKUP(B18,ENS.!$B$5:$H$167,2,FALSE)</f>
        <v>Densidad del suelo IN-SITU, Cono de Arena 6"</v>
      </c>
      <c r="D18" s="592"/>
      <c r="E18" s="592"/>
      <c r="F18" s="592"/>
      <c r="G18" s="592"/>
      <c r="H18" s="592"/>
      <c r="I18" s="592"/>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2" t="str">
        <f>VLOOKUP(B19,ENS.!$B$5:$H$167,2,FALSE)</f>
        <v>Movilización de personal y equipo (Densidad campo).</v>
      </c>
      <c r="D19" s="592"/>
      <c r="E19" s="592"/>
      <c r="F19" s="592"/>
      <c r="G19" s="592"/>
      <c r="H19" s="592"/>
      <c r="I19" s="592"/>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593" t="s">
        <v>6202</v>
      </c>
      <c r="M20" s="594"/>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6273</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10.25" customHeight="1" x14ac:dyDescent="0.3">
      <c r="B26" s="584" t="s">
        <v>6194</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105.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N26"/>
    <mergeCell ref="B27:D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10</v>
      </c>
      <c r="H3" s="626"/>
      <c r="I3" s="626"/>
      <c r="J3" s="626"/>
      <c r="K3" s="626"/>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607" t="str">
        <f>VLOOKUP($Q$3,BD_Clientes,2,FALSE)</f>
        <v>CONSTRUCTORA VALLES DEL PERÚ S.A.</v>
      </c>
      <c r="E5" s="607"/>
      <c r="F5" s="607"/>
      <c r="G5" s="607"/>
      <c r="H5" s="607"/>
      <c r="I5" s="607"/>
      <c r="J5" s="344" t="s">
        <v>5893</v>
      </c>
      <c r="L5" s="628" t="str">
        <f>VLOOKUP($Q$3,BD_Clientes,9,FALSE)</f>
        <v>Valles De Santa María</v>
      </c>
      <c r="M5" s="628"/>
      <c r="N5" s="628"/>
      <c r="P5" s="626">
        <v>222</v>
      </c>
      <c r="Q5" s="626"/>
      <c r="R5" s="626"/>
      <c r="S5" s="626"/>
      <c r="T5" s="626"/>
    </row>
    <row r="6" spans="2:20" ht="28.2" customHeight="1" x14ac:dyDescent="0.3">
      <c r="B6" s="331" t="s">
        <v>5891</v>
      </c>
      <c r="C6" s="331"/>
      <c r="D6" s="607">
        <f>VLOOKUP($Q$3,BD_Clientes,3,FALSE)</f>
        <v>20543329984</v>
      </c>
      <c r="E6" s="607"/>
      <c r="F6" s="607"/>
      <c r="G6" s="607"/>
      <c r="H6" s="607"/>
      <c r="I6" s="607"/>
      <c r="J6" s="322"/>
      <c r="K6" s="343"/>
      <c r="L6" s="476"/>
      <c r="M6" s="476"/>
      <c r="N6" s="476"/>
      <c r="P6" s="629">
        <v>222</v>
      </c>
      <c r="Q6" s="629"/>
      <c r="R6" s="629"/>
      <c r="S6" s="629"/>
      <c r="T6" s="629"/>
    </row>
    <row r="7" spans="2:20" ht="47.25" customHeight="1" x14ac:dyDescent="0.3">
      <c r="B7" s="331" t="s">
        <v>2499</v>
      </c>
      <c r="C7" s="331"/>
      <c r="D7" s="607" t="str">
        <f>VLOOKUP($Q$3,BD_Clientes,5,FALSE)</f>
        <v>Ing. Jaime Mantilla Castrejon</v>
      </c>
      <c r="E7" s="607"/>
      <c r="F7" s="607"/>
      <c r="G7" s="607"/>
      <c r="H7" s="607"/>
      <c r="I7" s="607"/>
      <c r="J7" s="344" t="s">
        <v>5894</v>
      </c>
      <c r="L7" s="628" t="str">
        <f>VLOOKUP($Q$3,BD_Clientes,10,FALSE)</f>
        <v>Avenida Santa María Parcela #2 Predio Ernesto – Carabayllo</v>
      </c>
      <c r="M7" s="628"/>
      <c r="N7" s="628"/>
      <c r="P7" s="627">
        <v>222</v>
      </c>
      <c r="Q7" s="627"/>
      <c r="R7" s="627"/>
      <c r="S7" s="627"/>
      <c r="T7" s="627"/>
    </row>
    <row r="8" spans="2:20" ht="35.25" customHeight="1" x14ac:dyDescent="0.3">
      <c r="B8" s="331" t="s">
        <v>5892</v>
      </c>
      <c r="C8" s="331"/>
      <c r="D8" s="331"/>
      <c r="E8" s="607">
        <f>VLOOKUP($Q$3,BD_Clientes,7,FALSE)</f>
        <v>946373595</v>
      </c>
      <c r="F8" s="607"/>
      <c r="G8" s="607"/>
      <c r="H8" s="607"/>
      <c r="I8" s="607"/>
      <c r="J8" s="347" t="s">
        <v>5895</v>
      </c>
      <c r="K8" s="347"/>
      <c r="L8" s="432" t="s">
        <v>3253</v>
      </c>
      <c r="M8" s="322"/>
      <c r="N8" s="322"/>
      <c r="P8" s="337"/>
      <c r="Q8" s="337"/>
    </row>
    <row r="9" spans="2:20" ht="35.25" customHeight="1" x14ac:dyDescent="0.3">
      <c r="B9" s="331" t="s">
        <v>2506</v>
      </c>
      <c r="C9" s="331"/>
      <c r="D9" s="607" t="str">
        <f>VLOOKUP($Q$3,BD_Clientes,8,FALSE)</f>
        <v>jmantilla@enacorp.pe</v>
      </c>
      <c r="E9" s="607"/>
      <c r="F9" s="607"/>
      <c r="G9" s="607"/>
      <c r="H9" s="607"/>
      <c r="I9" s="607"/>
      <c r="J9" s="346" t="s">
        <v>5915</v>
      </c>
      <c r="K9" s="346"/>
      <c r="L9" s="428">
        <v>982429895</v>
      </c>
      <c r="M9" s="343"/>
      <c r="N9" s="343"/>
    </row>
    <row r="10" spans="2:20" ht="44.25" customHeight="1" x14ac:dyDescent="0.3">
      <c r="B10" s="346" t="s">
        <v>2504</v>
      </c>
      <c r="C10" s="346"/>
      <c r="D10" s="435"/>
      <c r="E10" s="605">
        <v>46027</v>
      </c>
      <c r="F10" s="605"/>
      <c r="G10" s="605"/>
      <c r="H10" s="605"/>
      <c r="I10" s="605"/>
      <c r="J10" s="346" t="s">
        <v>2507</v>
      </c>
      <c r="K10" s="346"/>
      <c r="L10" s="606">
        <v>46027</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5" customHeight="1" x14ac:dyDescent="0.3">
      <c r="B17" s="389" t="s">
        <v>1962</v>
      </c>
      <c r="C17" s="592" t="str">
        <f>VLOOKUP(B17,ENS.!$B$5:$H$167,2,FALSE)</f>
        <v>Densidad del suelo IN-SITU, Cono de Arena 6"</v>
      </c>
      <c r="D17" s="592"/>
      <c r="E17" s="592"/>
      <c r="F17" s="592"/>
      <c r="G17" s="592"/>
      <c r="H17" s="592"/>
      <c r="I17" s="592"/>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2" t="str">
        <f>VLOOKUP(B18,ENS.!$B$5:$H$167,2,FALSE)</f>
        <v>Contenido de humedad en suelos</v>
      </c>
      <c r="D18" s="592"/>
      <c r="E18" s="592"/>
      <c r="F18" s="592"/>
      <c r="G18" s="592"/>
      <c r="H18" s="592"/>
      <c r="I18" s="592"/>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593" t="s">
        <v>6202</v>
      </c>
      <c r="M20" s="594"/>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6260</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10.25" customHeight="1" x14ac:dyDescent="0.3">
      <c r="B26" s="584" t="s">
        <v>6469</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105.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50.75"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N26"/>
    <mergeCell ref="B27:D27"/>
    <mergeCell ref="B28:N28"/>
    <mergeCell ref="B29:N29"/>
    <mergeCell ref="B30:N30"/>
    <mergeCell ref="B31:N31"/>
    <mergeCell ref="G3:K3"/>
    <mergeCell ref="D5:I5"/>
    <mergeCell ref="L5:N5"/>
    <mergeCell ref="D7:I7"/>
    <mergeCell ref="L7:N7"/>
    <mergeCell ref="C19:I19"/>
    <mergeCell ref="P5:T5"/>
    <mergeCell ref="D6:I6"/>
    <mergeCell ref="P6:T6"/>
    <mergeCell ref="E10:I10"/>
    <mergeCell ref="L10:N10"/>
    <mergeCell ref="P7:T7"/>
    <mergeCell ref="E8:I8"/>
    <mergeCell ref="D9:I9"/>
    <mergeCell ref="C17:I17"/>
    <mergeCell ref="C18:I18"/>
    <mergeCell ref="B13:N14"/>
    <mergeCell ref="C16:I16"/>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38</v>
      </c>
      <c r="H3" s="626"/>
      <c r="I3" s="626"/>
      <c r="J3" s="626"/>
      <c r="K3" s="626"/>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GRUPO JG SERVICIOS GENERALES SAC</v>
      </c>
      <c r="E5" s="607"/>
      <c r="F5" s="607"/>
      <c r="G5" s="607"/>
      <c r="H5" s="607"/>
      <c r="I5" s="607"/>
      <c r="J5" s="344" t="s">
        <v>5893</v>
      </c>
      <c r="L5" s="628" t="str">
        <f>VLOOKUP($Q$3,BD_Clientes,9,FALSE)</f>
        <v>Construcción  Oficinas Venta Centenario</v>
      </c>
      <c r="M5" s="628"/>
      <c r="N5" s="628"/>
      <c r="P5" s="626">
        <v>222</v>
      </c>
      <c r="Q5" s="626"/>
      <c r="R5" s="626"/>
      <c r="S5" s="626"/>
      <c r="T5" s="626"/>
    </row>
    <row r="6" spans="2:20" ht="28.2" customHeight="1" x14ac:dyDescent="0.3">
      <c r="B6" s="331" t="s">
        <v>5891</v>
      </c>
      <c r="C6" s="331"/>
      <c r="D6" s="607">
        <f>VLOOKUP($Q$3,BD_Clientes,3,FALSE)</f>
        <v>20603419805</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Jorge Gómez Ventocilla</v>
      </c>
      <c r="E7" s="607"/>
      <c r="F7" s="607"/>
      <c r="G7" s="607"/>
      <c r="H7" s="607"/>
      <c r="I7" s="607"/>
      <c r="J7" s="344" t="s">
        <v>5894</v>
      </c>
      <c r="L7" s="588" t="str">
        <f>VLOOKUP($Q$3,BD_Clientes,10,FALSE)</f>
        <v xml:space="preserve"> Lurín</v>
      </c>
      <c r="M7" s="588"/>
      <c r="N7" s="588"/>
      <c r="P7" s="627">
        <v>222</v>
      </c>
      <c r="Q7" s="627"/>
      <c r="R7" s="627"/>
      <c r="S7" s="627"/>
      <c r="T7" s="627"/>
    </row>
    <row r="8" spans="2:20" ht="31.5" customHeight="1" x14ac:dyDescent="0.3">
      <c r="B8" s="331" t="s">
        <v>5892</v>
      </c>
      <c r="C8" s="331"/>
      <c r="D8" s="331"/>
      <c r="E8" s="607">
        <f>VLOOKUP($Q$3,BD_Clientes,7,FALSE)</f>
        <v>931229110</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j.gomez96.25@gmail.com</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1" customHeight="1" x14ac:dyDescent="0.3">
      <c r="B17" s="389"/>
      <c r="C17" s="637" t="s">
        <v>6203</v>
      </c>
      <c r="D17" s="637"/>
      <c r="E17" s="637"/>
      <c r="F17" s="637"/>
      <c r="G17" s="637"/>
      <c r="H17" s="637"/>
      <c r="I17" s="637"/>
      <c r="J17" s="260"/>
      <c r="K17" s="260"/>
      <c r="L17" s="445"/>
      <c r="M17" s="260"/>
      <c r="N17" s="262"/>
      <c r="O17" s="321"/>
    </row>
    <row r="18" spans="2:25" s="269" customFormat="1" ht="29.1" customHeight="1" x14ac:dyDescent="0.3">
      <c r="B18" s="389" t="s">
        <v>2011</v>
      </c>
      <c r="C18" s="592" t="str">
        <f>VLOOKUP(B18,ENS.!$B$5:$H$167,2,FALSE)</f>
        <v xml:space="preserve">Próctor modificado </v>
      </c>
      <c r="D18" s="592"/>
      <c r="E18" s="592"/>
      <c r="F18" s="592"/>
      <c r="G18" s="592"/>
      <c r="H18" s="592"/>
      <c r="I18" s="592"/>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2" t="str">
        <f>VLOOKUP(B19,ENS.!$B$5:$H$167,2,FALSE)</f>
        <v>Gravedad específica de los sólidos del suelo.</v>
      </c>
      <c r="D19" s="592"/>
      <c r="E19" s="592"/>
      <c r="F19" s="592"/>
      <c r="G19" s="592"/>
      <c r="H19" s="592"/>
      <c r="I19" s="592"/>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2" t="str">
        <f>VLOOKUP(B20,ENS.!$B$5:$H$167,2,FALSE)</f>
        <v>Gravedad especifica y absorción de agregado grueso</v>
      </c>
      <c r="D20" s="592"/>
      <c r="E20" s="592"/>
      <c r="F20" s="592"/>
      <c r="G20" s="592"/>
      <c r="H20" s="592"/>
      <c r="I20" s="592"/>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2" t="str">
        <f>VLOOKUP(B21,ENS.!$B$5:$H$167,2,FALSE)</f>
        <v>Análisis granulométrico por tamizado en agregado</v>
      </c>
      <c r="D21" s="592"/>
      <c r="E21" s="592"/>
      <c r="F21" s="592"/>
      <c r="G21" s="592"/>
      <c r="H21" s="592"/>
      <c r="I21" s="592"/>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37" t="s">
        <v>6516</v>
      </c>
      <c r="D22" s="637"/>
      <c r="E22" s="637"/>
      <c r="F22" s="637"/>
      <c r="G22" s="637"/>
      <c r="H22" s="637"/>
      <c r="I22" s="637"/>
      <c r="J22" s="260"/>
      <c r="K22" s="260"/>
      <c r="L22" s="445"/>
      <c r="M22" s="260"/>
      <c r="N22" s="262"/>
      <c r="O22" s="321"/>
    </row>
    <row r="23" spans="2:25" s="269" customFormat="1" ht="29.1" customHeight="1" x14ac:dyDescent="0.3">
      <c r="B23" s="389" t="s">
        <v>1962</v>
      </c>
      <c r="C23" s="592" t="str">
        <f>VLOOKUP(B23,ENS.!$B$5:$H$167,2,FALSE)</f>
        <v>Densidad del suelo IN-SITU, Cono de Arena 6"</v>
      </c>
      <c r="D23" s="592"/>
      <c r="E23" s="592"/>
      <c r="F23" s="592"/>
      <c r="G23" s="592"/>
      <c r="H23" s="592"/>
      <c r="I23" s="592"/>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2" t="str">
        <f>VLOOKUP(B24,ENS.!$B$5:$H$167,2,FALSE)</f>
        <v>Contenido de humedad en suelos</v>
      </c>
      <c r="D24" s="592"/>
      <c r="E24" s="592"/>
      <c r="F24" s="592"/>
      <c r="G24" s="592"/>
      <c r="H24" s="592"/>
      <c r="I24" s="592"/>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2" t="str">
        <f>VLOOKUP(B25,ENS.!$B$5:$H$167,2,FALSE)</f>
        <v>Movilización de personal y equipo (Densidad campo).</v>
      </c>
      <c r="D25" s="592"/>
      <c r="E25" s="592"/>
      <c r="F25" s="592"/>
      <c r="G25" s="592"/>
      <c r="H25" s="592"/>
      <c r="I25" s="592"/>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593" t="s">
        <v>6202</v>
      </c>
      <c r="M26" s="594"/>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8" t="s">
        <v>2516</v>
      </c>
      <c r="M27" s="599"/>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600" t="s">
        <v>5911</v>
      </c>
      <c r="M28" s="601"/>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602" t="s">
        <v>4014</v>
      </c>
      <c r="C30" s="602"/>
      <c r="D30" s="602"/>
      <c r="E30" s="602"/>
      <c r="F30" s="602"/>
      <c r="G30" s="602"/>
      <c r="H30" s="602"/>
      <c r="I30" s="602"/>
      <c r="J30" s="602"/>
      <c r="K30" s="602"/>
      <c r="L30" s="602"/>
      <c r="M30" s="602"/>
      <c r="N30" s="602"/>
      <c r="O30" s="336"/>
      <c r="P30" s="406"/>
      <c r="Q30" s="327"/>
      <c r="R30" s="327"/>
      <c r="S30" s="327"/>
      <c r="T30" s="327"/>
      <c r="U30" s="327"/>
      <c r="V30" s="327"/>
      <c r="W30" s="327"/>
      <c r="X30" s="327"/>
      <c r="Y30" s="327"/>
    </row>
    <row r="31" spans="2:25" s="322" customFormat="1" ht="152.25" customHeight="1" x14ac:dyDescent="0.3">
      <c r="B31" s="590" t="s">
        <v>6517</v>
      </c>
      <c r="C31" s="590"/>
      <c r="D31" s="590"/>
      <c r="E31" s="590"/>
      <c r="F31" s="590"/>
      <c r="G31" s="590"/>
      <c r="H31" s="590"/>
      <c r="I31" s="590"/>
      <c r="J31" s="590"/>
      <c r="K31" s="590"/>
      <c r="L31" s="590"/>
      <c r="M31" s="590"/>
      <c r="N31" s="590"/>
      <c r="O31" s="336"/>
      <c r="P31" s="406"/>
      <c r="Q31" s="327"/>
      <c r="R31" s="327"/>
      <c r="S31" s="327"/>
      <c r="T31" s="327"/>
      <c r="U31" s="327"/>
      <c r="V31" s="327"/>
      <c r="W31" s="327"/>
      <c r="X31" s="327"/>
      <c r="Y31" s="327"/>
    </row>
    <row r="32" spans="2:25" s="322" customFormat="1" ht="110.25" customHeight="1" x14ac:dyDescent="0.3">
      <c r="B32" s="584" t="s">
        <v>6194</v>
      </c>
      <c r="C32" s="584"/>
      <c r="D32" s="584"/>
      <c r="E32" s="584"/>
      <c r="F32" s="584"/>
      <c r="G32" s="584"/>
      <c r="H32" s="584"/>
      <c r="I32" s="584"/>
      <c r="J32" s="584"/>
      <c r="K32" s="584"/>
      <c r="L32" s="584"/>
      <c r="M32" s="584"/>
      <c r="N32" s="584"/>
      <c r="O32" s="336"/>
      <c r="P32" s="406"/>
      <c r="Q32" s="327"/>
      <c r="R32" s="327"/>
      <c r="S32" s="327"/>
      <c r="T32" s="327"/>
      <c r="U32" s="327"/>
      <c r="V32" s="327"/>
      <c r="W32" s="327"/>
      <c r="X32" s="327"/>
      <c r="Y32" s="327"/>
    </row>
    <row r="33" spans="2:25" s="322" customFormat="1" ht="61.2" customHeight="1" x14ac:dyDescent="0.3">
      <c r="B33" s="590" t="s">
        <v>5898</v>
      </c>
      <c r="C33" s="590"/>
      <c r="D33" s="590"/>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0" t="s">
        <v>4017</v>
      </c>
      <c r="C34" s="590"/>
      <c r="D34" s="590"/>
      <c r="E34" s="590"/>
      <c r="F34" s="590"/>
      <c r="G34" s="590"/>
      <c r="H34" s="590"/>
      <c r="I34" s="590"/>
      <c r="J34" s="590"/>
      <c r="K34" s="590"/>
      <c r="L34" s="590"/>
      <c r="M34" s="590"/>
      <c r="N34" s="590"/>
      <c r="O34" s="270"/>
      <c r="P34" s="404"/>
      <c r="Q34" s="292"/>
      <c r="R34" s="292"/>
      <c r="S34" s="292"/>
      <c r="T34" s="292"/>
      <c r="U34" s="292"/>
      <c r="V34" s="292"/>
      <c r="W34" s="292"/>
      <c r="X34" s="292"/>
      <c r="Y34" s="292"/>
    </row>
    <row r="35" spans="2:25" ht="79.5" customHeight="1" x14ac:dyDescent="0.3">
      <c r="B35" s="590" t="s">
        <v>5900</v>
      </c>
      <c r="C35" s="590"/>
      <c r="D35" s="590"/>
      <c r="E35" s="590"/>
      <c r="F35" s="590"/>
      <c r="G35" s="590"/>
      <c r="H35" s="590"/>
      <c r="I35" s="590"/>
      <c r="J35" s="590"/>
      <c r="K35" s="590"/>
      <c r="L35" s="590"/>
      <c r="M35" s="590"/>
      <c r="N35" s="590"/>
      <c r="O35" s="270"/>
      <c r="P35" s="404"/>
      <c r="Q35" s="292"/>
      <c r="R35" s="292"/>
      <c r="S35" s="292"/>
      <c r="T35" s="292"/>
      <c r="U35" s="292"/>
      <c r="V35" s="292"/>
      <c r="W35" s="292"/>
      <c r="X35" s="292"/>
      <c r="Y35" s="292"/>
    </row>
    <row r="36" spans="2:25" s="322" customFormat="1" ht="85.5" customHeight="1" x14ac:dyDescent="0.3">
      <c r="B36" s="589" t="s">
        <v>5901</v>
      </c>
      <c r="C36" s="589"/>
      <c r="D36" s="589"/>
      <c r="E36" s="589"/>
      <c r="F36" s="589"/>
      <c r="G36" s="589"/>
      <c r="H36" s="589"/>
      <c r="I36" s="589"/>
      <c r="J36" s="589"/>
      <c r="K36" s="589"/>
      <c r="L36" s="589"/>
      <c r="M36" s="589"/>
      <c r="N36" s="589"/>
      <c r="O36" s="323"/>
      <c r="P36" s="324"/>
    </row>
    <row r="37" spans="2:25" s="322" customFormat="1" ht="147.6" customHeight="1" x14ac:dyDescent="0.3">
      <c r="B37" s="590" t="s">
        <v>5907</v>
      </c>
      <c r="C37" s="590"/>
      <c r="D37" s="590"/>
      <c r="E37" s="590"/>
      <c r="F37" s="590"/>
      <c r="G37" s="590"/>
      <c r="H37" s="590"/>
      <c r="I37" s="590"/>
      <c r="J37" s="590"/>
      <c r="K37" s="590"/>
      <c r="L37" s="590"/>
      <c r="M37" s="590"/>
      <c r="N37" s="590"/>
      <c r="O37" s="323"/>
      <c r="P37" s="324"/>
      <c r="Q37" s="325"/>
      <c r="R37" s="326"/>
    </row>
    <row r="38" spans="2:25" s="322" customFormat="1" ht="45.6" customHeight="1" x14ac:dyDescent="0.3">
      <c r="B38" s="590" t="s">
        <v>4015</v>
      </c>
      <c r="C38" s="590"/>
      <c r="D38" s="590"/>
      <c r="E38" s="590"/>
      <c r="F38" s="590"/>
      <c r="G38" s="590"/>
      <c r="H38" s="590"/>
      <c r="I38" s="590"/>
      <c r="J38" s="590"/>
      <c r="K38" s="590"/>
      <c r="L38" s="590"/>
      <c r="M38" s="590"/>
      <c r="N38" s="590"/>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591" t="s">
        <v>2477</v>
      </c>
      <c r="C45" s="591"/>
      <c r="D45" s="591"/>
      <c r="E45" s="591"/>
      <c r="F45" s="591"/>
      <c r="G45" s="591"/>
      <c r="H45" s="591"/>
      <c r="I45" s="591"/>
      <c r="J45" s="591"/>
      <c r="K45" s="591"/>
      <c r="L45" s="591"/>
      <c r="M45" s="591"/>
      <c r="N45" s="591"/>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0" t="s">
        <v>5906</v>
      </c>
      <c r="C58" s="590"/>
      <c r="D58" s="590"/>
      <c r="E58" s="590"/>
      <c r="F58" s="590"/>
      <c r="G58" s="590"/>
      <c r="H58" s="590"/>
      <c r="I58" s="590"/>
      <c r="J58" s="590"/>
      <c r="K58" s="590"/>
      <c r="L58" s="590"/>
      <c r="M58" s="590"/>
      <c r="N58" s="590"/>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4"/>
      <c r="C66" s="584"/>
      <c r="D66" s="584"/>
      <c r="E66" s="584"/>
      <c r="M66" s="585"/>
      <c r="N66" s="585"/>
      <c r="Q66" s="332"/>
      <c r="R66" s="332"/>
    </row>
    <row r="67" spans="2:18" ht="51" customHeight="1" x14ac:dyDescent="0.3">
      <c r="B67" s="586" t="s">
        <v>5903</v>
      </c>
      <c r="C67" s="586"/>
      <c r="D67" s="586"/>
      <c r="E67" s="330"/>
      <c r="F67" s="330"/>
      <c r="G67" s="431"/>
      <c r="H67" s="431"/>
      <c r="I67" s="409"/>
      <c r="J67" s="409"/>
      <c r="K67" s="409"/>
      <c r="L67" s="409"/>
      <c r="M67" s="587" t="s">
        <v>2485</v>
      </c>
      <c r="N67" s="587"/>
    </row>
  </sheetData>
  <mergeCells count="42">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4:N34"/>
    <mergeCell ref="B35:N35"/>
    <mergeCell ref="C21:I21"/>
    <mergeCell ref="C22:I22"/>
    <mergeCell ref="C23:I23"/>
    <mergeCell ref="C24:I24"/>
    <mergeCell ref="C25:I25"/>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20</v>
      </c>
      <c r="H3" s="626"/>
      <c r="I3" s="626"/>
      <c r="J3" s="626"/>
      <c r="K3" s="626"/>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607" t="str">
        <f>VLOOKUP($Q$3,BD_Clientes,2,FALSE)</f>
        <v>CARBONELL FIGUERAS S.A.C. (CAFISAC)</v>
      </c>
      <c r="E5" s="607"/>
      <c r="F5" s="607"/>
      <c r="G5" s="607"/>
      <c r="H5" s="607"/>
      <c r="I5" s="607"/>
      <c r="J5" s="344" t="s">
        <v>5893</v>
      </c>
      <c r="L5" s="628" t="str">
        <f>VLOOKUP($Q$3,BD_Clientes,9,FALSE)</f>
        <v>Repsol</v>
      </c>
      <c r="M5" s="628"/>
      <c r="N5" s="628"/>
      <c r="P5" s="626">
        <v>222</v>
      </c>
      <c r="Q5" s="626"/>
      <c r="R5" s="626"/>
      <c r="S5" s="626"/>
      <c r="T5" s="626"/>
    </row>
    <row r="6" spans="2:20" ht="38.25" customHeight="1" x14ac:dyDescent="0.3">
      <c r="B6" s="331" t="s">
        <v>5891</v>
      </c>
      <c r="C6" s="331"/>
      <c r="D6" s="607">
        <f>VLOOKUP($Q$3,BD_Clientes,3,FALSE)</f>
        <v>20550488192</v>
      </c>
      <c r="E6" s="607"/>
      <c r="F6" s="607"/>
      <c r="G6" s="607"/>
      <c r="H6" s="607"/>
      <c r="I6" s="607"/>
      <c r="J6" s="322"/>
      <c r="K6" s="343"/>
      <c r="L6" s="476"/>
      <c r="M6" s="476"/>
      <c r="N6" s="476"/>
      <c r="P6" s="629">
        <v>222</v>
      </c>
      <c r="Q6" s="629"/>
      <c r="R6" s="629"/>
      <c r="S6" s="629"/>
      <c r="T6" s="629"/>
    </row>
    <row r="7" spans="2:20" ht="34.5" customHeight="1" x14ac:dyDescent="0.3">
      <c r="B7" s="331" t="s">
        <v>2499</v>
      </c>
      <c r="C7" s="331"/>
      <c r="D7" s="607" t="str">
        <f>VLOOKUP($Q$3,BD_Clientes,5,FALSE)</f>
        <v xml:space="preserve">Ing. Maryorit Huancas Trejo / Vannia Choque </v>
      </c>
      <c r="E7" s="607"/>
      <c r="F7" s="607"/>
      <c r="G7" s="607"/>
      <c r="H7" s="607"/>
      <c r="I7" s="607"/>
      <c r="J7" s="344" t="s">
        <v>5894</v>
      </c>
      <c r="L7" s="628" t="str">
        <f>VLOOKUP($Q$3,BD_Clientes,10,FALSE)</f>
        <v>Pampilla, Repsol – Ventanilla</v>
      </c>
      <c r="M7" s="628"/>
      <c r="N7" s="628"/>
      <c r="P7" s="627">
        <v>222</v>
      </c>
      <c r="Q7" s="627"/>
      <c r="R7" s="627"/>
      <c r="S7" s="627"/>
      <c r="T7" s="627"/>
    </row>
    <row r="8" spans="2:20" ht="31.5" customHeight="1" x14ac:dyDescent="0.3">
      <c r="B8" s="331" t="s">
        <v>5892</v>
      </c>
      <c r="C8" s="331"/>
      <c r="D8" s="331"/>
      <c r="E8" s="607" t="str">
        <f>VLOOKUP($Q$3,BD_Clientes,7,FALSE)</f>
        <v>994792243 / 972706233</v>
      </c>
      <c r="F8" s="607"/>
      <c r="G8" s="607"/>
      <c r="H8" s="607"/>
      <c r="I8" s="607"/>
      <c r="J8" s="347" t="s">
        <v>5895</v>
      </c>
      <c r="K8" s="347"/>
      <c r="L8" s="432" t="s">
        <v>3253</v>
      </c>
      <c r="M8" s="322"/>
      <c r="N8" s="322"/>
      <c r="P8" s="337"/>
      <c r="Q8" s="337"/>
    </row>
    <row r="9" spans="2:20" ht="50.25" customHeight="1" x14ac:dyDescent="0.3">
      <c r="B9" s="331" t="s">
        <v>2506</v>
      </c>
      <c r="C9" s="331"/>
      <c r="D9" s="607" t="str">
        <f>VLOOKUP($Q$3,BD_Clientes,8,FALSE)</f>
        <v>MaryoritHuancas@carbonellfigueras.com / VanniaChoque@carbonellfigueras.com</v>
      </c>
      <c r="E9" s="607"/>
      <c r="F9" s="607"/>
      <c r="G9" s="607"/>
      <c r="H9" s="607"/>
      <c r="I9" s="607"/>
      <c r="J9" s="346" t="s">
        <v>5915</v>
      </c>
      <c r="K9" s="346"/>
      <c r="L9" s="428">
        <v>982429895</v>
      </c>
      <c r="M9" s="343"/>
      <c r="N9" s="343"/>
    </row>
    <row r="10" spans="2:20" ht="33" customHeight="1" x14ac:dyDescent="0.3">
      <c r="B10" s="346" t="s">
        <v>2504</v>
      </c>
      <c r="C10" s="346"/>
      <c r="D10" s="435"/>
      <c r="E10" s="605">
        <v>46028</v>
      </c>
      <c r="F10" s="605"/>
      <c r="G10" s="605"/>
      <c r="H10" s="605"/>
      <c r="I10" s="605"/>
      <c r="J10" s="346" t="s">
        <v>2507</v>
      </c>
      <c r="K10" s="346"/>
      <c r="L10" s="606">
        <v>46028</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1.75" customHeight="1" x14ac:dyDescent="0.3">
      <c r="B17" s="389" t="s">
        <v>2183</v>
      </c>
      <c r="C17" s="592" t="str">
        <f>VLOOKUP(B17,ENS.!$B$5:$H$167,2,FALSE)</f>
        <v>Resistencia a la compresión de mortero con especimen cubicos de 50 mm.</v>
      </c>
      <c r="D17" s="592"/>
      <c r="E17" s="592"/>
      <c r="F17" s="592"/>
      <c r="G17" s="592"/>
      <c r="H17" s="592"/>
      <c r="I17" s="592"/>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593" t="s">
        <v>3105</v>
      </c>
      <c r="M18" s="594"/>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56" customHeight="1" x14ac:dyDescent="0.3">
      <c r="B23" s="590" t="s">
        <v>6372</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110.25" customHeight="1" x14ac:dyDescent="0.3">
      <c r="B24" s="584" t="s">
        <v>6197</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0" t="s">
        <v>5898</v>
      </c>
      <c r="C26" s="590"/>
      <c r="D26" s="590"/>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82.5" customHeight="1" x14ac:dyDescent="0.3">
      <c r="B29" s="589" t="s">
        <v>5901</v>
      </c>
      <c r="C29" s="589"/>
      <c r="D29" s="589"/>
      <c r="E29" s="589"/>
      <c r="F29" s="589"/>
      <c r="G29" s="589"/>
      <c r="H29" s="589"/>
      <c r="I29" s="589"/>
      <c r="J29" s="589"/>
      <c r="K29" s="589"/>
      <c r="L29" s="589"/>
      <c r="M29" s="589"/>
      <c r="N29" s="589"/>
      <c r="O29" s="323"/>
      <c r="P29" s="324"/>
    </row>
    <row r="30" spans="2:25" s="322" customFormat="1" ht="147.6"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591" t="s">
        <v>2477</v>
      </c>
      <c r="C38" s="591"/>
      <c r="D38" s="591"/>
      <c r="E38" s="591"/>
      <c r="F38" s="591"/>
      <c r="G38" s="591"/>
      <c r="H38" s="591"/>
      <c r="I38" s="591"/>
      <c r="J38" s="591"/>
      <c r="K38" s="591"/>
      <c r="L38" s="591"/>
      <c r="M38" s="591"/>
      <c r="N38" s="591"/>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zoomScale="70" zoomScaleNormal="80" zoomScaleSheetLayoutView="70" workbookViewId="0">
      <selection activeCell="Q30" sqref="Q30"/>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26">
        <v>51</v>
      </c>
      <c r="H3" s="626"/>
      <c r="I3" s="626"/>
      <c r="J3" s="626"/>
      <c r="K3" s="626"/>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607"/>
      <c r="E5" s="607"/>
      <c r="F5" s="607"/>
      <c r="G5" s="607"/>
      <c r="H5" s="607"/>
      <c r="I5" s="607"/>
      <c r="J5" s="344" t="s">
        <v>5893</v>
      </c>
      <c r="L5" s="628"/>
      <c r="M5" s="628"/>
      <c r="N5" s="628"/>
      <c r="P5" s="626"/>
      <c r="Q5" s="626"/>
      <c r="R5" s="626"/>
      <c r="S5" s="626"/>
      <c r="T5" s="626"/>
    </row>
    <row r="6" spans="2:24" ht="22.5" customHeight="1" x14ac:dyDescent="0.3">
      <c r="B6" s="331" t="s">
        <v>5891</v>
      </c>
      <c r="C6" s="331"/>
      <c r="D6" s="607"/>
      <c r="E6" s="607"/>
      <c r="F6" s="607"/>
      <c r="G6" s="607"/>
      <c r="H6" s="607"/>
      <c r="I6" s="607"/>
      <c r="J6" s="322"/>
      <c r="K6" s="343"/>
      <c r="L6" s="476"/>
      <c r="M6" s="476"/>
      <c r="N6" s="476"/>
      <c r="P6" s="629"/>
      <c r="Q6" s="629"/>
      <c r="R6" s="629"/>
      <c r="S6" s="629"/>
      <c r="T6" s="629"/>
    </row>
    <row r="7" spans="2:24" ht="34.5" customHeight="1" x14ac:dyDescent="0.3">
      <c r="B7" s="331" t="s">
        <v>2499</v>
      </c>
      <c r="C7" s="331"/>
      <c r="D7" s="607"/>
      <c r="E7" s="607"/>
      <c r="F7" s="607"/>
      <c r="G7" s="607"/>
      <c r="H7" s="607"/>
      <c r="I7" s="607"/>
      <c r="J7" s="344" t="s">
        <v>5894</v>
      </c>
      <c r="L7" s="628"/>
      <c r="M7" s="628"/>
      <c r="N7" s="628"/>
      <c r="P7" s="627"/>
      <c r="Q7" s="627"/>
      <c r="R7" s="627"/>
      <c r="S7" s="627"/>
      <c r="T7" s="627"/>
    </row>
    <row r="8" spans="2:24" ht="25.5" customHeight="1" x14ac:dyDescent="0.3">
      <c r="B8" s="331" t="s">
        <v>5892</v>
      </c>
      <c r="C8" s="331"/>
      <c r="D8" s="331"/>
      <c r="E8" s="607"/>
      <c r="F8" s="607"/>
      <c r="G8" s="607"/>
      <c r="H8" s="607"/>
      <c r="I8" s="607"/>
      <c r="J8" s="347" t="s">
        <v>5895</v>
      </c>
      <c r="K8" s="347"/>
      <c r="L8" s="432"/>
      <c r="M8" s="322"/>
      <c r="N8" s="322"/>
      <c r="P8" s="337"/>
      <c r="Q8" s="337"/>
    </row>
    <row r="9" spans="2:24" ht="60.75" customHeight="1" x14ac:dyDescent="0.3">
      <c r="B9" s="331" t="s">
        <v>2506</v>
      </c>
      <c r="C9" s="331"/>
      <c r="D9" s="607"/>
      <c r="E9" s="607"/>
      <c r="F9" s="607"/>
      <c r="G9" s="607"/>
      <c r="H9" s="607"/>
      <c r="I9" s="607"/>
      <c r="J9" s="346" t="s">
        <v>5915</v>
      </c>
      <c r="K9" s="346"/>
      <c r="L9" s="428"/>
      <c r="M9" s="343"/>
      <c r="N9" s="343"/>
    </row>
    <row r="10" spans="2:24" ht="33" customHeight="1" x14ac:dyDescent="0.3">
      <c r="B10" s="346" t="s">
        <v>2504</v>
      </c>
      <c r="C10" s="346"/>
      <c r="D10" s="435"/>
      <c r="E10" s="605"/>
      <c r="F10" s="605"/>
      <c r="G10" s="605"/>
      <c r="H10" s="605"/>
      <c r="I10" s="605"/>
      <c r="J10" s="346" t="s">
        <v>2507</v>
      </c>
      <c r="K10" s="346"/>
      <c r="L10" s="606" t="s">
        <v>2505</v>
      </c>
      <c r="M10" s="606"/>
      <c r="N10" s="606"/>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4" t="s">
        <v>5897</v>
      </c>
      <c r="C13" s="584"/>
      <c r="D13" s="584"/>
      <c r="E13" s="584"/>
      <c r="F13" s="584"/>
      <c r="G13" s="584"/>
      <c r="H13" s="584"/>
      <c r="I13" s="584"/>
      <c r="J13" s="584"/>
      <c r="K13" s="584"/>
      <c r="L13" s="584"/>
      <c r="M13" s="584"/>
      <c r="N13" s="584"/>
    </row>
    <row r="14" spans="2:24" ht="14.25" customHeight="1" x14ac:dyDescent="0.3">
      <c r="B14" s="584"/>
      <c r="C14" s="584"/>
      <c r="D14" s="584"/>
      <c r="E14" s="584"/>
      <c r="F14" s="584"/>
      <c r="G14" s="584"/>
      <c r="H14" s="584"/>
      <c r="I14" s="584"/>
      <c r="J14" s="584"/>
      <c r="K14" s="584"/>
      <c r="L14" s="584"/>
      <c r="M14" s="584"/>
      <c r="N14" s="584"/>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1.75" customHeight="1" x14ac:dyDescent="0.3">
      <c r="B17" s="389"/>
      <c r="C17" s="592"/>
      <c r="D17" s="592"/>
      <c r="E17" s="592"/>
      <c r="F17" s="592"/>
      <c r="G17" s="592"/>
      <c r="H17" s="592"/>
      <c r="I17" s="592"/>
      <c r="J17" s="260"/>
      <c r="K17" s="260"/>
      <c r="L17" s="445"/>
      <c r="M17" s="260"/>
      <c r="N17" s="262"/>
      <c r="O17" s="321"/>
    </row>
    <row r="18" spans="2:25" ht="22.2" customHeight="1" x14ac:dyDescent="0.3">
      <c r="B18" s="405"/>
      <c r="C18" s="344"/>
      <c r="D18" s="344"/>
      <c r="E18" s="331"/>
      <c r="F18" s="322"/>
      <c r="G18" s="322"/>
      <c r="H18" s="322"/>
      <c r="I18" s="322"/>
      <c r="J18" s="322"/>
      <c r="K18" s="322"/>
      <c r="L18" s="593" t="s">
        <v>3105</v>
      </c>
      <c r="M18" s="594"/>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14" customHeight="1" x14ac:dyDescent="0.3">
      <c r="B23" s="590" t="s">
        <v>6547</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75" customHeight="1" x14ac:dyDescent="0.3">
      <c r="B24" s="584" t="s">
        <v>6197</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0" t="s">
        <v>5898</v>
      </c>
      <c r="C26" s="590"/>
      <c r="D26" s="590"/>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82.5" customHeight="1" x14ac:dyDescent="0.3">
      <c r="B29" s="589" t="s">
        <v>5901</v>
      </c>
      <c r="C29" s="589"/>
      <c r="D29" s="589"/>
      <c r="E29" s="589"/>
      <c r="F29" s="589"/>
      <c r="G29" s="589"/>
      <c r="H29" s="589"/>
      <c r="I29" s="589"/>
      <c r="J29" s="589"/>
      <c r="K29" s="589"/>
      <c r="L29" s="589"/>
      <c r="M29" s="589"/>
      <c r="N29" s="589"/>
      <c r="O29" s="323"/>
      <c r="P29" s="324"/>
    </row>
    <row r="30" spans="2:25" s="322" customFormat="1" ht="147.6"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row>
    <row r="35" spans="2:18" s="322" customFormat="1" ht="16.2" customHeight="1" x14ac:dyDescent="0.3">
      <c r="B35" s="322" t="s">
        <v>4016</v>
      </c>
      <c r="P35"/>
    </row>
    <row r="36" spans="2:18" s="322" customFormat="1" ht="16.2" customHeight="1" x14ac:dyDescent="0.3">
      <c r="B36" s="322" t="s">
        <v>2475</v>
      </c>
      <c r="P36"/>
    </row>
    <row r="37" spans="2:18" s="322" customFormat="1" ht="16.2" customHeight="1" x14ac:dyDescent="0.3">
      <c r="B37" s="328" t="s">
        <v>2476</v>
      </c>
      <c r="C37" s="328"/>
      <c r="D37" s="328"/>
      <c r="P37"/>
    </row>
    <row r="38" spans="2:18" s="322" customFormat="1" ht="16.2" customHeight="1" x14ac:dyDescent="0.3">
      <c r="B38" s="591" t="s">
        <v>2477</v>
      </c>
      <c r="C38" s="591"/>
      <c r="D38" s="591"/>
      <c r="E38" s="591"/>
      <c r="F38" s="591"/>
      <c r="G38" s="591"/>
      <c r="H38" s="591"/>
      <c r="I38" s="591"/>
      <c r="J38" s="591"/>
      <c r="K38" s="591"/>
      <c r="L38" s="591"/>
      <c r="M38" s="591"/>
      <c r="N38" s="591"/>
      <c r="O38" s="330"/>
      <c r="P38"/>
      <c r="R38" s="331"/>
    </row>
    <row r="39" spans="2:18" s="322" customFormat="1" ht="16.2" customHeight="1" x14ac:dyDescent="0.3">
      <c r="B39" s="328" t="s">
        <v>2522</v>
      </c>
      <c r="C39" s="328"/>
      <c r="D39" s="328"/>
      <c r="O39" s="330"/>
      <c r="P39"/>
      <c r="R39" s="331"/>
    </row>
    <row r="40" spans="2:18" s="322" customFormat="1" ht="16.2" customHeight="1" x14ac:dyDescent="0.3">
      <c r="B40" s="329" t="s">
        <v>2524</v>
      </c>
      <c r="C40" s="329"/>
      <c r="D40" s="329"/>
      <c r="O40" s="330"/>
      <c r="P40"/>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30">
        <v>302</v>
      </c>
      <c r="F2" s="730"/>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31" t="str">
        <f>VLOOKUP($M$1,clientes1,9,FALSE)</f>
        <v>-</v>
      </c>
      <c r="H4" s="731"/>
      <c r="I4" s="731"/>
      <c r="J4" s="731"/>
      <c r="L4" s="730">
        <v>222</v>
      </c>
      <c r="M4" s="730"/>
    </row>
    <row r="5" spans="2:14" ht="16.2" customHeight="1" x14ac:dyDescent="0.2">
      <c r="B5" s="171" t="s">
        <v>2530</v>
      </c>
      <c r="C5" s="66">
        <f>VLOOKUP($M$1,clientes1,3,FALSE)</f>
        <v>20562660896</v>
      </c>
      <c r="D5" s="152"/>
      <c r="E5" s="152"/>
      <c r="F5" s="154"/>
      <c r="G5" s="731"/>
      <c r="H5" s="731"/>
      <c r="I5" s="731"/>
      <c r="J5" s="731"/>
      <c r="L5" s="732">
        <v>222</v>
      </c>
      <c r="M5" s="732"/>
      <c r="N5" s="243"/>
    </row>
    <row r="6" spans="2:14" ht="20.25" customHeight="1" x14ac:dyDescent="0.2">
      <c r="B6" s="153" t="s">
        <v>2531</v>
      </c>
      <c r="C6" s="733" t="str">
        <f>VLOOKUP($M$1,clientes1,4,FALSE)</f>
        <v>CAL.SANDINO MZA. E LOTE. 5, CRUCE DE LAS AV. HUANDOY Y RIO MARAÑON - LOS OLIVOS</v>
      </c>
      <c r="D6" s="733"/>
      <c r="E6" s="733"/>
      <c r="F6" s="153" t="s">
        <v>2532</v>
      </c>
      <c r="G6" s="731" t="str">
        <f>VLOOKUP($M$1,clientes1,10,FALSE)</f>
        <v>-</v>
      </c>
      <c r="H6" s="731"/>
      <c r="I6" s="731"/>
      <c r="J6" s="731"/>
    </row>
    <row r="7" spans="2:14" ht="20.25" customHeight="1" x14ac:dyDescent="0.2">
      <c r="B7" s="153"/>
      <c r="C7" s="733"/>
      <c r="D7" s="733"/>
      <c r="E7" s="733"/>
      <c r="F7" s="154"/>
      <c r="G7" s="731"/>
      <c r="H7" s="731"/>
      <c r="I7" s="731"/>
      <c r="J7" s="731"/>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24">
        <v>956057624</v>
      </c>
      <c r="I9" s="724"/>
      <c r="J9" s="154"/>
    </row>
    <row r="10" spans="2:14" ht="16.2" customHeight="1" x14ac:dyDescent="0.2">
      <c r="B10" s="171" t="s">
        <v>2535</v>
      </c>
      <c r="C10" s="66">
        <f>VLOOKUP($M$1,clientes1,7,FALSE)</f>
        <v>963338932</v>
      </c>
      <c r="D10" s="152"/>
      <c r="E10" s="154"/>
      <c r="F10" s="155" t="s">
        <v>2536</v>
      </c>
      <c r="H10" s="725">
        <v>44769</v>
      </c>
      <c r="I10" s="725"/>
      <c r="J10" s="154"/>
      <c r="M10" s="61" t="s">
        <v>2505</v>
      </c>
    </row>
    <row r="11" spans="2:14" ht="16.2" customHeight="1" x14ac:dyDescent="0.2">
      <c r="B11" s="171" t="s">
        <v>2537</v>
      </c>
      <c r="C11" s="66" t="str">
        <f>VLOOKUP($M$1,clientes1,8,FALSE)</f>
        <v>cristiam1925@gmail.com</v>
      </c>
      <c r="D11" s="152"/>
      <c r="E11" s="170"/>
      <c r="F11" s="155" t="s">
        <v>2538</v>
      </c>
      <c r="H11" s="725">
        <v>44769</v>
      </c>
      <c r="I11" s="725"/>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26" t="s">
        <v>2509</v>
      </c>
      <c r="C14" s="726"/>
      <c r="D14" s="726"/>
      <c r="E14" s="726"/>
      <c r="F14" s="726"/>
      <c r="G14" s="726"/>
      <c r="H14" s="726"/>
      <c r="I14" s="726"/>
      <c r="J14" s="726"/>
      <c r="K14" s="145"/>
      <c r="L14" s="145"/>
    </row>
    <row r="15" spans="2:14" ht="16.2" customHeight="1" x14ac:dyDescent="0.2">
      <c r="B15" s="726"/>
      <c r="C15" s="726"/>
      <c r="D15" s="726"/>
      <c r="E15" s="726"/>
      <c r="F15" s="726"/>
      <c r="G15" s="726"/>
      <c r="H15" s="726"/>
      <c r="I15" s="726"/>
      <c r="J15" s="726"/>
      <c r="K15" s="146"/>
      <c r="L15" s="146"/>
    </row>
    <row r="16" spans="2:14" ht="8.4" customHeight="1" x14ac:dyDescent="0.2">
      <c r="B16" s="68"/>
      <c r="C16" s="68"/>
      <c r="D16" s="65"/>
      <c r="E16" s="65"/>
      <c r="F16" s="65"/>
    </row>
    <row r="17" spans="2:15" ht="37.200000000000003" customHeight="1" x14ac:dyDescent="0.25">
      <c r="B17" s="308" t="s">
        <v>2510</v>
      </c>
      <c r="C17" s="727" t="s">
        <v>2540</v>
      </c>
      <c r="D17" s="727"/>
      <c r="E17" s="727"/>
      <c r="F17" s="313" t="s">
        <v>2511</v>
      </c>
      <c r="G17" s="728" t="s">
        <v>2512</v>
      </c>
      <c r="H17" s="729"/>
      <c r="I17" s="308" t="s">
        <v>2513</v>
      </c>
      <c r="J17" s="75" t="s">
        <v>2514</v>
      </c>
      <c r="K17" s="147"/>
    </row>
    <row r="18" spans="2:15" ht="21.75" customHeight="1" x14ac:dyDescent="0.2">
      <c r="B18" s="124" t="s">
        <v>117</v>
      </c>
      <c r="C18" s="721" t="s">
        <v>2541</v>
      </c>
      <c r="D18" s="721"/>
      <c r="E18" s="721"/>
      <c r="F18" s="161" t="s">
        <v>117</v>
      </c>
      <c r="G18" s="722">
        <v>50</v>
      </c>
      <c r="H18" s="723"/>
      <c r="I18" s="161">
        <v>1</v>
      </c>
      <c r="J18" s="162">
        <f t="shared" ref="J18:J28" si="0">+G18*I18</f>
        <v>50</v>
      </c>
      <c r="K18" s="149"/>
      <c r="L18" s="235"/>
      <c r="M18" s="235"/>
      <c r="N18" s="236"/>
      <c r="O18" s="131"/>
    </row>
    <row r="19" spans="2:15" ht="21.75" customHeight="1" x14ac:dyDescent="0.2">
      <c r="B19" s="239" t="s">
        <v>2137</v>
      </c>
      <c r="C19" s="716" t="str">
        <f t="shared" ref="C19:C28" si="1">VLOOKUP(B19,SERVICIOENSAYOS,2,FALSE)</f>
        <v>Pasante de la malla No.200</v>
      </c>
      <c r="D19" s="716"/>
      <c r="E19" s="716"/>
      <c r="F19" s="177" t="str">
        <f t="shared" ref="F19:F28" si="2">+VLOOKUP(B19,SERVICIOENSAYOS,3,FALSE)</f>
        <v>ASTM C117-23</v>
      </c>
      <c r="G19" s="717" t="str">
        <f t="shared" ref="G19:G28" si="3">+VLOOKUP(B19,SERVICIOENSAYOS,5,FALSE)</f>
        <v>-</v>
      </c>
      <c r="H19" s="718"/>
      <c r="I19" s="177">
        <v>0</v>
      </c>
      <c r="J19" s="178" t="e">
        <f t="shared" si="0"/>
        <v>#VALUE!</v>
      </c>
      <c r="K19" s="149"/>
      <c r="L19" s="235"/>
      <c r="M19" s="235"/>
      <c r="N19" s="236"/>
      <c r="O19" s="131"/>
    </row>
    <row r="20" spans="2:15" ht="21.75" customHeight="1" x14ac:dyDescent="0.2">
      <c r="B20" s="239" t="s">
        <v>2017</v>
      </c>
      <c r="C20" s="716" t="e">
        <f t="shared" si="1"/>
        <v>#N/A</v>
      </c>
      <c r="D20" s="716"/>
      <c r="E20" s="716"/>
      <c r="F20" s="177" t="e">
        <f t="shared" si="2"/>
        <v>#N/A</v>
      </c>
      <c r="G20" s="717" t="e">
        <f t="shared" si="3"/>
        <v>#N/A</v>
      </c>
      <c r="H20" s="718"/>
      <c r="I20" s="177">
        <v>0</v>
      </c>
      <c r="J20" s="178" t="e">
        <f t="shared" si="0"/>
        <v>#N/A</v>
      </c>
      <c r="K20" s="149"/>
      <c r="L20" s="235"/>
      <c r="M20" s="235"/>
      <c r="N20" s="236"/>
      <c r="O20" s="131"/>
    </row>
    <row r="21" spans="2:15" ht="21.75" customHeight="1" x14ac:dyDescent="0.2">
      <c r="B21" s="239" t="s">
        <v>2453</v>
      </c>
      <c r="C21" s="716" t="str">
        <f t="shared" si="1"/>
        <v xml:space="preserve">Abrasión los Ángeles de agregado grueso de gran tamaño </v>
      </c>
      <c r="D21" s="716"/>
      <c r="E21" s="716"/>
      <c r="F21" s="177" t="str">
        <f t="shared" si="2"/>
        <v>ASTM C535-16 (Reapproved 2024)</v>
      </c>
      <c r="G21" s="717" t="str">
        <f t="shared" si="3"/>
        <v>-</v>
      </c>
      <c r="H21" s="718"/>
      <c r="I21" s="177">
        <v>0</v>
      </c>
      <c r="J21" s="178" t="e">
        <f t="shared" si="0"/>
        <v>#VALUE!</v>
      </c>
      <c r="K21" s="149"/>
      <c r="L21" s="235"/>
      <c r="M21" s="235"/>
      <c r="N21" s="236"/>
      <c r="O21" s="131"/>
    </row>
    <row r="22" spans="2:15" ht="21.75" customHeight="1" x14ac:dyDescent="0.2">
      <c r="B22" s="239" t="s">
        <v>2101</v>
      </c>
      <c r="C22" s="716" t="e">
        <f t="shared" si="1"/>
        <v>#N/A</v>
      </c>
      <c r="D22" s="716"/>
      <c r="E22" s="716"/>
      <c r="F22" s="177" t="e">
        <f t="shared" si="2"/>
        <v>#N/A</v>
      </c>
      <c r="G22" s="717" t="e">
        <f t="shared" si="3"/>
        <v>#N/A</v>
      </c>
      <c r="H22" s="718"/>
      <c r="I22" s="177">
        <v>0</v>
      </c>
      <c r="J22" s="178" t="e">
        <f t="shared" si="0"/>
        <v>#N/A</v>
      </c>
      <c r="K22" s="149"/>
      <c r="L22" s="235"/>
      <c r="M22" s="235"/>
      <c r="N22" s="236"/>
      <c r="O22" s="131"/>
    </row>
    <row r="23" spans="2:15" ht="21.75" customHeight="1" x14ac:dyDescent="0.2">
      <c r="B23" s="239" t="s">
        <v>2094</v>
      </c>
      <c r="C23" s="716" t="e">
        <f t="shared" si="1"/>
        <v>#N/A</v>
      </c>
      <c r="D23" s="716"/>
      <c r="E23" s="716"/>
      <c r="F23" s="177" t="e">
        <f t="shared" si="2"/>
        <v>#N/A</v>
      </c>
      <c r="G23" s="717" t="e">
        <f t="shared" si="3"/>
        <v>#N/A</v>
      </c>
      <c r="H23" s="718"/>
      <c r="I23" s="177">
        <v>0</v>
      </c>
      <c r="J23" s="178" t="e">
        <f t="shared" si="0"/>
        <v>#N/A</v>
      </c>
      <c r="K23" s="149"/>
      <c r="L23" s="235"/>
      <c r="M23" s="235"/>
      <c r="N23" s="236"/>
      <c r="O23" s="131"/>
    </row>
    <row r="24" spans="2:15" ht="21.75" customHeight="1" x14ac:dyDescent="0.2">
      <c r="B24" s="239" t="s">
        <v>2467</v>
      </c>
      <c r="C24" s="716" t="str">
        <f t="shared" si="1"/>
        <v>Movilización de personal y equipo.</v>
      </c>
      <c r="D24" s="716"/>
      <c r="E24" s="716"/>
      <c r="F24" s="177" t="str">
        <f t="shared" si="2"/>
        <v>-</v>
      </c>
      <c r="G24" s="717" t="str">
        <f t="shared" si="3"/>
        <v>-</v>
      </c>
      <c r="H24" s="718"/>
      <c r="I24" s="177">
        <v>0</v>
      </c>
      <c r="J24" s="178" t="e">
        <f t="shared" si="0"/>
        <v>#VALUE!</v>
      </c>
      <c r="K24" s="149"/>
      <c r="L24" s="235"/>
      <c r="M24" s="235"/>
      <c r="N24" s="236"/>
      <c r="O24" s="131"/>
    </row>
    <row r="25" spans="2:15" ht="21.75" customHeight="1" x14ac:dyDescent="0.2">
      <c r="B25" s="239" t="s">
        <v>2101</v>
      </c>
      <c r="C25" s="716" t="e">
        <f t="shared" si="1"/>
        <v>#N/A</v>
      </c>
      <c r="D25" s="716"/>
      <c r="E25" s="716"/>
      <c r="F25" s="177" t="e">
        <f t="shared" si="2"/>
        <v>#N/A</v>
      </c>
      <c r="G25" s="717" t="e">
        <f t="shared" si="3"/>
        <v>#N/A</v>
      </c>
      <c r="H25" s="718"/>
      <c r="I25" s="177">
        <v>0</v>
      </c>
      <c r="J25" s="178" t="e">
        <f t="shared" si="0"/>
        <v>#N/A</v>
      </c>
      <c r="K25" s="149"/>
      <c r="L25" s="235"/>
      <c r="M25" s="235"/>
      <c r="N25" s="236"/>
      <c r="O25" s="131"/>
    </row>
    <row r="26" spans="2:15" ht="21.75" customHeight="1" x14ac:dyDescent="0.2">
      <c r="B26" s="239" t="s">
        <v>2094</v>
      </c>
      <c r="C26" s="716" t="e">
        <f t="shared" si="1"/>
        <v>#N/A</v>
      </c>
      <c r="D26" s="716"/>
      <c r="E26" s="716"/>
      <c r="F26" s="177" t="e">
        <f t="shared" si="2"/>
        <v>#N/A</v>
      </c>
      <c r="G26" s="717" t="e">
        <f t="shared" si="3"/>
        <v>#N/A</v>
      </c>
      <c r="H26" s="718"/>
      <c r="I26" s="177">
        <v>0</v>
      </c>
      <c r="J26" s="178" t="e">
        <f t="shared" si="0"/>
        <v>#N/A</v>
      </c>
      <c r="K26" s="149"/>
      <c r="L26" s="235"/>
      <c r="M26" s="235"/>
      <c r="N26" s="236"/>
      <c r="O26" s="131"/>
    </row>
    <row r="27" spans="2:15" ht="21.75" customHeight="1" x14ac:dyDescent="0.2">
      <c r="B27" s="239" t="s">
        <v>2098</v>
      </c>
      <c r="C27" s="716" t="e">
        <f t="shared" si="1"/>
        <v>#N/A</v>
      </c>
      <c r="D27" s="716"/>
      <c r="E27" s="716"/>
      <c r="F27" s="177" t="e">
        <f t="shared" si="2"/>
        <v>#N/A</v>
      </c>
      <c r="G27" s="717" t="e">
        <f t="shared" si="3"/>
        <v>#N/A</v>
      </c>
      <c r="H27" s="718"/>
      <c r="I27" s="177">
        <v>0</v>
      </c>
      <c r="J27" s="178" t="e">
        <f t="shared" si="0"/>
        <v>#N/A</v>
      </c>
      <c r="K27" s="149"/>
      <c r="L27" s="235"/>
      <c r="M27" s="235"/>
      <c r="N27" s="236"/>
      <c r="O27" s="131"/>
    </row>
    <row r="28" spans="2:15" ht="21.75" customHeight="1" x14ac:dyDescent="0.2">
      <c r="B28" s="239" t="s">
        <v>2467</v>
      </c>
      <c r="C28" s="716" t="str">
        <f t="shared" si="1"/>
        <v>Movilización de personal y equipo.</v>
      </c>
      <c r="D28" s="716"/>
      <c r="E28" s="716"/>
      <c r="F28" s="177" t="str">
        <f t="shared" si="2"/>
        <v>-</v>
      </c>
      <c r="G28" s="717" t="str">
        <f t="shared" si="3"/>
        <v>-</v>
      </c>
      <c r="H28" s="718"/>
      <c r="I28" s="177">
        <v>0</v>
      </c>
      <c r="J28" s="178" t="e">
        <f t="shared" si="0"/>
        <v>#VALUE!</v>
      </c>
      <c r="K28" s="149"/>
      <c r="L28" s="235"/>
      <c r="M28" s="235"/>
      <c r="N28" s="236"/>
      <c r="O28" s="131"/>
    </row>
    <row r="29" spans="2:15" ht="17.100000000000001" customHeight="1" x14ac:dyDescent="0.25">
      <c r="B29" s="209" t="s">
        <v>2542</v>
      </c>
      <c r="C29" s="55"/>
      <c r="D29" s="53"/>
      <c r="E29" s="53"/>
      <c r="F29" s="53"/>
      <c r="G29" s="719" t="s">
        <v>2515</v>
      </c>
      <c r="H29" s="719"/>
      <c r="I29" s="719"/>
      <c r="J29" s="163" t="e">
        <f>+SUM(J18:J28)</f>
        <v>#VALUE!</v>
      </c>
      <c r="K29" s="52"/>
      <c r="L29" s="235"/>
      <c r="M29" s="235"/>
      <c r="N29" s="236"/>
      <c r="O29" s="131"/>
    </row>
    <row r="30" spans="2:15" ht="17.100000000000001" customHeight="1" x14ac:dyDescent="0.25">
      <c r="B30" s="212"/>
      <c r="C30" s="55"/>
      <c r="D30" s="53"/>
      <c r="E30" s="53"/>
      <c r="F30" s="53"/>
      <c r="G30" s="719" t="s">
        <v>2516</v>
      </c>
      <c r="H30" s="719"/>
      <c r="I30" s="719"/>
      <c r="J30" s="163" t="e">
        <f>+J29*0.18</f>
        <v>#VALUE!</v>
      </c>
      <c r="K30" s="52"/>
      <c r="L30" s="235"/>
      <c r="M30" s="235"/>
      <c r="N30" s="236"/>
      <c r="O30" s="131"/>
    </row>
    <row r="31" spans="2:15" ht="17.100000000000001" customHeight="1" x14ac:dyDescent="0.25">
      <c r="B31" s="212"/>
      <c r="C31" s="55"/>
      <c r="D31" s="53"/>
      <c r="E31" s="53"/>
      <c r="F31" s="53"/>
      <c r="G31" s="720" t="s">
        <v>2543</v>
      </c>
      <c r="H31" s="720"/>
      <c r="I31" s="720"/>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12" t="s">
        <v>2544</v>
      </c>
      <c r="C35" s="712"/>
      <c r="D35" s="712"/>
      <c r="E35" s="712"/>
      <c r="F35" s="712"/>
      <c r="G35" s="712"/>
      <c r="H35" s="712"/>
      <c r="I35" s="712"/>
      <c r="J35" s="712"/>
      <c r="K35" s="181" t="s">
        <v>2545</v>
      </c>
    </row>
    <row r="36" spans="2:15" ht="17.25" customHeight="1" x14ac:dyDescent="0.2">
      <c r="B36" s="712" t="s">
        <v>2546</v>
      </c>
      <c r="C36" s="712"/>
      <c r="D36" s="712"/>
      <c r="E36" s="712"/>
      <c r="F36" s="712"/>
      <c r="G36" s="712"/>
      <c r="H36" s="712"/>
      <c r="I36" s="712"/>
      <c r="J36" s="712"/>
      <c r="K36" s="181" t="s">
        <v>2545</v>
      </c>
    </row>
    <row r="37" spans="2:15" ht="17.25" customHeight="1" x14ac:dyDescent="0.2">
      <c r="B37" s="712" t="s">
        <v>2547</v>
      </c>
      <c r="C37" s="712"/>
      <c r="D37" s="712"/>
      <c r="E37" s="712"/>
      <c r="F37" s="712"/>
      <c r="G37" s="712"/>
      <c r="H37" s="712"/>
      <c r="I37" s="712"/>
      <c r="J37" s="712"/>
      <c r="K37" s="181" t="s">
        <v>2545</v>
      </c>
    </row>
    <row r="38" spans="2:15" ht="33.75" customHeight="1" x14ac:dyDescent="0.2">
      <c r="B38" s="715" t="s">
        <v>2548</v>
      </c>
      <c r="C38" s="715"/>
      <c r="D38" s="715"/>
      <c r="E38" s="715"/>
      <c r="F38" s="715"/>
      <c r="G38" s="715"/>
      <c r="H38" s="715"/>
      <c r="I38" s="715"/>
      <c r="J38" s="715"/>
      <c r="K38" s="181"/>
    </row>
    <row r="39" spans="2:15" ht="17.25" customHeight="1" x14ac:dyDescent="0.2">
      <c r="B39" s="712" t="s">
        <v>2549</v>
      </c>
      <c r="C39" s="712"/>
      <c r="D39" s="712"/>
      <c r="E39" s="712"/>
      <c r="F39" s="712"/>
      <c r="G39" s="712"/>
      <c r="H39" s="712"/>
      <c r="I39" s="712"/>
      <c r="J39" s="712"/>
      <c r="K39" s="181"/>
    </row>
    <row r="40" spans="2:15" ht="40.5" customHeight="1" x14ac:dyDescent="0.2">
      <c r="B40" s="715" t="s">
        <v>2550</v>
      </c>
      <c r="C40" s="715"/>
      <c r="D40" s="715"/>
      <c r="E40" s="715"/>
      <c r="F40" s="715"/>
      <c r="G40" s="715"/>
      <c r="H40" s="715"/>
      <c r="I40" s="715"/>
      <c r="J40" s="715"/>
      <c r="K40" s="181"/>
    </row>
    <row r="41" spans="2:15" ht="33.75" customHeight="1" x14ac:dyDescent="0.2">
      <c r="B41" s="715" t="s">
        <v>2551</v>
      </c>
      <c r="C41" s="715"/>
      <c r="D41" s="715"/>
      <c r="E41" s="715"/>
      <c r="F41" s="715"/>
      <c r="G41" s="715"/>
      <c r="H41" s="715"/>
      <c r="I41" s="715"/>
      <c r="J41" s="715"/>
      <c r="K41" s="181"/>
    </row>
    <row r="42" spans="2:15" s="127" customFormat="1" ht="32.25" customHeight="1" x14ac:dyDescent="0.2">
      <c r="B42" s="715" t="s">
        <v>2552</v>
      </c>
      <c r="C42" s="712"/>
      <c r="D42" s="712"/>
      <c r="E42" s="712"/>
      <c r="F42" s="712"/>
      <c r="G42" s="712"/>
      <c r="H42" s="712"/>
      <c r="I42" s="712"/>
      <c r="J42" s="712"/>
      <c r="K42" s="227"/>
    </row>
    <row r="43" spans="2:15" ht="17.25" customHeight="1" x14ac:dyDescent="0.2">
      <c r="B43" s="712" t="s">
        <v>2553</v>
      </c>
      <c r="C43" s="712"/>
      <c r="D43" s="712"/>
      <c r="E43" s="712"/>
      <c r="F43" s="712"/>
      <c r="G43" s="712"/>
      <c r="H43" s="712"/>
      <c r="I43" s="712"/>
      <c r="J43" s="712"/>
      <c r="K43" s="181" t="s">
        <v>2545</v>
      </c>
    </row>
    <row r="44" spans="2:15" ht="17.25" customHeight="1" x14ac:dyDescent="0.2">
      <c r="B44" s="712" t="s">
        <v>2554</v>
      </c>
      <c r="C44" s="712"/>
      <c r="D44" s="712"/>
      <c r="E44" s="712"/>
      <c r="F44" s="712"/>
      <c r="G44" s="712"/>
      <c r="H44" s="712"/>
      <c r="I44" s="712"/>
      <c r="J44" s="712"/>
      <c r="K44" s="181" t="s">
        <v>2545</v>
      </c>
    </row>
    <row r="45" spans="2:15" ht="17.25" customHeight="1" x14ac:dyDescent="0.2">
      <c r="B45" s="712" t="s">
        <v>2555</v>
      </c>
      <c r="C45" s="712"/>
      <c r="D45" s="712"/>
      <c r="E45" s="712"/>
      <c r="F45" s="712"/>
      <c r="G45" s="712"/>
      <c r="H45" s="712"/>
      <c r="I45" s="712"/>
      <c r="J45" s="712"/>
      <c r="K45" s="181" t="s">
        <v>2545</v>
      </c>
    </row>
    <row r="46" spans="2:15" ht="53.25" customHeight="1" x14ac:dyDescent="0.2">
      <c r="B46" s="707" t="s">
        <v>2556</v>
      </c>
      <c r="C46" s="707"/>
      <c r="D46" s="707"/>
      <c r="E46" s="707"/>
      <c r="F46" s="707"/>
      <c r="G46" s="707"/>
      <c r="H46" s="707"/>
      <c r="I46" s="707"/>
      <c r="J46" s="707"/>
      <c r="K46" s="182" t="s">
        <v>2545</v>
      </c>
    </row>
    <row r="47" spans="2:15" ht="30" customHeight="1" x14ac:dyDescent="0.2">
      <c r="B47" s="715" t="s">
        <v>2557</v>
      </c>
      <c r="C47" s="715"/>
      <c r="D47" s="715"/>
      <c r="E47" s="715"/>
      <c r="F47" s="715"/>
      <c r="G47" s="715"/>
      <c r="H47" s="715"/>
      <c r="I47" s="715"/>
      <c r="J47" s="715"/>
      <c r="K47" s="182"/>
    </row>
    <row r="48" spans="2:15" ht="38.25" customHeight="1" x14ac:dyDescent="0.2">
      <c r="B48" s="707" t="s">
        <v>2558</v>
      </c>
      <c r="C48" s="707"/>
      <c r="D48" s="707"/>
      <c r="E48" s="707"/>
      <c r="F48" s="707"/>
      <c r="G48" s="707"/>
      <c r="H48" s="707"/>
      <c r="I48" s="707"/>
      <c r="J48" s="707"/>
      <c r="K48" s="182"/>
    </row>
    <row r="49" spans="2:11" ht="46.5" customHeight="1" x14ac:dyDescent="0.2">
      <c r="B49" s="715" t="s">
        <v>2559</v>
      </c>
      <c r="C49" s="715"/>
      <c r="D49" s="715"/>
      <c r="E49" s="715"/>
      <c r="F49" s="715"/>
      <c r="G49" s="715"/>
      <c r="H49" s="715"/>
      <c r="I49" s="715"/>
      <c r="J49" s="715"/>
      <c r="K49" s="182"/>
    </row>
    <row r="50" spans="2:11" ht="38.25" customHeight="1" x14ac:dyDescent="0.2">
      <c r="B50" s="715" t="s">
        <v>2560</v>
      </c>
      <c r="C50" s="715"/>
      <c r="D50" s="715"/>
      <c r="E50" s="715"/>
      <c r="F50" s="715"/>
      <c r="G50" s="715"/>
      <c r="H50" s="715"/>
      <c r="I50" s="715"/>
      <c r="J50" s="715"/>
      <c r="K50" s="182"/>
    </row>
    <row r="51" spans="2:11" ht="38.25" customHeight="1" x14ac:dyDescent="0.2">
      <c r="B51" s="707" t="s">
        <v>2561</v>
      </c>
      <c r="C51" s="707"/>
      <c r="D51" s="707"/>
      <c r="E51" s="707"/>
      <c r="F51" s="707"/>
      <c r="G51" s="707"/>
      <c r="H51" s="707"/>
      <c r="I51" s="707"/>
      <c r="J51" s="707"/>
      <c r="K51" s="182"/>
    </row>
    <row r="52" spans="2:11" ht="17.25" customHeight="1" x14ac:dyDescent="0.2">
      <c r="B52" s="712" t="s">
        <v>2562</v>
      </c>
      <c r="C52" s="712"/>
      <c r="D52" s="712"/>
      <c r="E52" s="712"/>
      <c r="F52" s="712"/>
      <c r="G52" s="712"/>
      <c r="H52" s="712"/>
      <c r="I52" s="712"/>
      <c r="J52" s="712"/>
      <c r="K52" s="181"/>
    </row>
    <row r="53" spans="2:11" ht="17.25" customHeight="1" x14ac:dyDescent="0.2">
      <c r="B53" s="712" t="s">
        <v>2563</v>
      </c>
      <c r="C53" s="712"/>
      <c r="D53" s="712"/>
      <c r="E53" s="712"/>
      <c r="F53" s="712"/>
      <c r="G53" s="712"/>
      <c r="H53" s="712"/>
      <c r="I53" s="712"/>
      <c r="J53" s="712"/>
      <c r="K53" s="181"/>
    </row>
    <row r="54" spans="2:11" ht="17.25" customHeight="1" x14ac:dyDescent="0.2">
      <c r="B54" s="712" t="s">
        <v>2564</v>
      </c>
      <c r="C54" s="712"/>
      <c r="D54" s="712"/>
      <c r="E54" s="712"/>
      <c r="F54" s="712"/>
      <c r="G54" s="712"/>
      <c r="H54" s="712"/>
      <c r="I54" s="712"/>
      <c r="J54" s="712"/>
      <c r="K54" s="181"/>
    </row>
    <row r="55" spans="2:11" ht="66.75" customHeight="1" x14ac:dyDescent="0.2">
      <c r="B55" s="707" t="s">
        <v>2565</v>
      </c>
      <c r="C55" s="707"/>
      <c r="D55" s="707"/>
      <c r="E55" s="707"/>
      <c r="F55" s="707"/>
      <c r="G55" s="707"/>
      <c r="H55" s="707"/>
      <c r="I55" s="707"/>
      <c r="J55" s="707"/>
      <c r="K55" s="182"/>
    </row>
    <row r="56" spans="2:11" ht="13.2" x14ac:dyDescent="0.2">
      <c r="B56" s="713" t="s">
        <v>2566</v>
      </c>
      <c r="C56" s="713"/>
      <c r="D56" s="713"/>
      <c r="E56" s="713"/>
      <c r="F56" s="713"/>
      <c r="G56" s="713"/>
      <c r="H56" s="713"/>
      <c r="I56" s="713"/>
      <c r="J56" s="713"/>
      <c r="K56" s="181"/>
    </row>
    <row r="57" spans="2:11" ht="25.5" customHeight="1" x14ac:dyDescent="0.2">
      <c r="B57" s="714" t="s">
        <v>2567</v>
      </c>
      <c r="C57" s="713"/>
      <c r="D57" s="713"/>
      <c r="E57" s="713"/>
      <c r="F57" s="713"/>
      <c r="G57" s="713"/>
      <c r="H57" s="713"/>
      <c r="I57" s="713"/>
      <c r="J57" s="713"/>
      <c r="K57" s="181"/>
    </row>
    <row r="58" spans="2:11" ht="25.5" customHeight="1" x14ac:dyDescent="0.2">
      <c r="B58" s="714" t="s">
        <v>2568</v>
      </c>
      <c r="C58" s="713"/>
      <c r="D58" s="713"/>
      <c r="E58" s="713"/>
      <c r="F58" s="713"/>
      <c r="G58" s="713"/>
      <c r="H58" s="713"/>
      <c r="I58" s="713"/>
      <c r="J58" s="713"/>
      <c r="K58" s="181"/>
    </row>
    <row r="59" spans="2:11" ht="3" customHeight="1" x14ac:dyDescent="0.2">
      <c r="B59" s="713" t="s">
        <v>2569</v>
      </c>
      <c r="C59" s="713"/>
      <c r="D59" s="713"/>
      <c r="E59" s="713"/>
      <c r="F59" s="713"/>
      <c r="G59" s="713"/>
      <c r="H59" s="713"/>
      <c r="I59" s="713"/>
      <c r="J59" s="713"/>
      <c r="K59" s="181"/>
    </row>
    <row r="60" spans="2:11" ht="30.75" customHeight="1" x14ac:dyDescent="0.2">
      <c r="B60" s="714" t="s">
        <v>2570</v>
      </c>
      <c r="C60" s="714"/>
      <c r="D60" s="714"/>
      <c r="E60" s="714"/>
      <c r="F60" s="714"/>
      <c r="G60" s="714"/>
      <c r="H60" s="714"/>
      <c r="I60" s="714"/>
      <c r="J60" s="714"/>
      <c r="K60" s="182"/>
    </row>
    <row r="61" spans="2:11" ht="115.5" customHeight="1" x14ac:dyDescent="0.2">
      <c r="B61" s="306"/>
      <c r="C61" s="306"/>
      <c r="D61" s="306"/>
      <c r="E61" s="306"/>
      <c r="F61" s="306"/>
      <c r="G61" s="306"/>
      <c r="H61" s="306"/>
      <c r="I61" s="306"/>
      <c r="J61" s="306"/>
      <c r="K61" s="182"/>
    </row>
    <row r="62" spans="2:11" ht="37.5" customHeight="1" x14ac:dyDescent="0.2">
      <c r="B62" s="706" t="s">
        <v>2571</v>
      </c>
      <c r="C62" s="706"/>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12" t="s">
        <v>2572</v>
      </c>
      <c r="C64" s="712"/>
      <c r="D64" s="712"/>
      <c r="E64" s="712"/>
      <c r="F64" s="712"/>
      <c r="G64" s="712"/>
      <c r="H64" s="712"/>
      <c r="I64" s="712"/>
      <c r="J64" s="712"/>
      <c r="K64" s="182" t="s">
        <v>2545</v>
      </c>
    </row>
    <row r="65" spans="2:21" ht="32.4" customHeight="1" x14ac:dyDescent="0.2">
      <c r="B65" s="707" t="s">
        <v>2573</v>
      </c>
      <c r="C65" s="707"/>
      <c r="D65" s="707"/>
      <c r="E65" s="707"/>
      <c r="F65" s="707"/>
      <c r="G65" s="707"/>
      <c r="H65" s="707"/>
      <c r="I65" s="707"/>
      <c r="J65" s="707"/>
      <c r="K65" s="182" t="s">
        <v>2545</v>
      </c>
    </row>
    <row r="66" spans="2:21" ht="32.4" customHeight="1" x14ac:dyDescent="0.2">
      <c r="B66" s="707" t="s">
        <v>2574</v>
      </c>
      <c r="C66" s="707"/>
      <c r="D66" s="707"/>
      <c r="E66" s="707"/>
      <c r="F66" s="707"/>
      <c r="G66" s="707"/>
      <c r="H66" s="707"/>
      <c r="I66" s="707"/>
      <c r="J66" s="707"/>
      <c r="K66" s="182" t="s">
        <v>2545</v>
      </c>
      <c r="L66" s="90"/>
    </row>
    <row r="67" spans="2:21" ht="32.4" customHeight="1" x14ac:dyDescent="0.2">
      <c r="B67" s="707" t="s">
        <v>2575</v>
      </c>
      <c r="C67" s="707"/>
      <c r="D67" s="707"/>
      <c r="E67" s="707"/>
      <c r="F67" s="707"/>
      <c r="G67" s="707"/>
      <c r="H67" s="707"/>
      <c r="I67" s="707"/>
      <c r="J67" s="707"/>
      <c r="K67" s="182" t="s">
        <v>2545</v>
      </c>
      <c r="L67" s="90"/>
      <c r="M67" s="82"/>
      <c r="N67" s="83"/>
    </row>
    <row r="68" spans="2:21" ht="56.4" customHeight="1" x14ac:dyDescent="0.2">
      <c r="B68" s="707" t="s">
        <v>2576</v>
      </c>
      <c r="C68" s="707"/>
      <c r="D68" s="707"/>
      <c r="E68" s="707"/>
      <c r="F68" s="707"/>
      <c r="G68" s="707"/>
      <c r="H68" s="707"/>
      <c r="I68" s="707"/>
      <c r="J68" s="707"/>
      <c r="K68" s="182" t="s">
        <v>2545</v>
      </c>
      <c r="L68" s="90"/>
      <c r="M68" s="82"/>
      <c r="N68" s="83"/>
    </row>
    <row r="69" spans="2:21" ht="56.4" customHeight="1" x14ac:dyDescent="0.2">
      <c r="B69" s="707" t="s">
        <v>2577</v>
      </c>
      <c r="C69" s="707"/>
      <c r="D69" s="707"/>
      <c r="E69" s="707"/>
      <c r="F69" s="707"/>
      <c r="G69" s="707"/>
      <c r="H69" s="707"/>
      <c r="I69" s="707"/>
      <c r="J69" s="707"/>
      <c r="K69" s="182" t="s">
        <v>2545</v>
      </c>
      <c r="L69" s="90"/>
      <c r="M69" s="82"/>
      <c r="N69" s="83"/>
    </row>
    <row r="70" spans="2:21" ht="29.25" customHeight="1" x14ac:dyDescent="0.2">
      <c r="B70" s="707" t="s">
        <v>2578</v>
      </c>
      <c r="C70" s="707"/>
      <c r="D70" s="707"/>
      <c r="E70" s="707"/>
      <c r="F70" s="707"/>
      <c r="G70" s="707"/>
      <c r="H70" s="707"/>
      <c r="I70" s="707"/>
      <c r="J70" s="707"/>
      <c r="K70" s="182" t="s">
        <v>2545</v>
      </c>
      <c r="L70" s="90"/>
      <c r="M70" s="82"/>
      <c r="N70" s="83"/>
    </row>
    <row r="71" spans="2:21" ht="32.4" customHeight="1" x14ac:dyDescent="0.2">
      <c r="B71" s="707" t="s">
        <v>2579</v>
      </c>
      <c r="C71" s="707"/>
      <c r="D71" s="707"/>
      <c r="E71" s="707"/>
      <c r="F71" s="707"/>
      <c r="G71" s="707"/>
      <c r="H71" s="707"/>
      <c r="I71" s="707"/>
      <c r="J71" s="707"/>
      <c r="K71" s="182" t="s">
        <v>2545</v>
      </c>
      <c r="M71" s="82"/>
      <c r="N71" s="83"/>
    </row>
    <row r="72" spans="2:21" ht="56.4" customHeight="1" x14ac:dyDescent="0.2">
      <c r="B72" s="707" t="s">
        <v>2580</v>
      </c>
      <c r="C72" s="707"/>
      <c r="D72" s="707"/>
      <c r="E72" s="707"/>
      <c r="F72" s="707"/>
      <c r="G72" s="707"/>
      <c r="H72" s="707"/>
      <c r="I72" s="707"/>
      <c r="J72" s="707"/>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08"/>
      <c r="C74" s="708"/>
      <c r="D74" s="708"/>
      <c r="E74" s="708"/>
      <c r="F74" s="708"/>
      <c r="G74" s="708"/>
      <c r="H74" s="708"/>
      <c r="I74" s="708"/>
      <c r="J74" s="708"/>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09" t="s">
        <v>2588</v>
      </c>
      <c r="C87" s="709"/>
      <c r="D87" s="709"/>
      <c r="E87" s="709"/>
      <c r="F87" s="709"/>
      <c r="G87" s="709"/>
      <c r="H87" s="709"/>
      <c r="I87" s="709"/>
      <c r="J87" s="709"/>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10"/>
      <c r="C98" s="710"/>
      <c r="I98" s="711" t="s">
        <v>2485</v>
      </c>
      <c r="J98" s="711"/>
      <c r="M98" s="67"/>
      <c r="N98" s="67"/>
    </row>
    <row r="99" spans="2:14" ht="74.25" customHeight="1" x14ac:dyDescent="0.2">
      <c r="B99" s="304"/>
      <c r="C99" s="304"/>
      <c r="I99" s="305"/>
      <c r="J99" s="305"/>
      <c r="M99" s="67"/>
      <c r="N99" s="67"/>
    </row>
    <row r="100" spans="2:14" ht="36" customHeight="1" x14ac:dyDescent="0.2">
      <c r="B100" s="706" t="s">
        <v>2591</v>
      </c>
      <c r="C100" s="706"/>
    </row>
    <row r="101" spans="2:14" ht="57.75" customHeight="1" x14ac:dyDescent="0.2"/>
  </sheetData>
  <mergeCells count="78">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B39:J39"/>
    <mergeCell ref="C27:E27"/>
    <mergeCell ref="G27:H27"/>
    <mergeCell ref="C28:E28"/>
    <mergeCell ref="G28:H28"/>
    <mergeCell ref="G29:I29"/>
    <mergeCell ref="G30:I30"/>
    <mergeCell ref="G31:I31"/>
    <mergeCell ref="B35:J35"/>
    <mergeCell ref="B36:J36"/>
    <mergeCell ref="B37:J37"/>
    <mergeCell ref="B38:J38"/>
    <mergeCell ref="B51:J51"/>
    <mergeCell ref="B40:J40"/>
    <mergeCell ref="B41:J41"/>
    <mergeCell ref="B42:J42"/>
    <mergeCell ref="B43:J43"/>
    <mergeCell ref="B44:J44"/>
    <mergeCell ref="B45:J45"/>
    <mergeCell ref="B46:J46"/>
    <mergeCell ref="B47:J47"/>
    <mergeCell ref="B48:J48"/>
    <mergeCell ref="B49:J49"/>
    <mergeCell ref="B50:J50"/>
    <mergeCell ref="B65:J65"/>
    <mergeCell ref="B52:J52"/>
    <mergeCell ref="B53:J53"/>
    <mergeCell ref="B54:J54"/>
    <mergeCell ref="B55:J55"/>
    <mergeCell ref="B56:J56"/>
    <mergeCell ref="B57:J57"/>
    <mergeCell ref="B58:J58"/>
    <mergeCell ref="B59:J59"/>
    <mergeCell ref="B60:J60"/>
    <mergeCell ref="B62:C62"/>
    <mergeCell ref="B64:J64"/>
    <mergeCell ref="B100:C100"/>
    <mergeCell ref="B66:J66"/>
    <mergeCell ref="B67:J67"/>
    <mergeCell ref="B68:J68"/>
    <mergeCell ref="B69:J69"/>
    <mergeCell ref="B70:J70"/>
    <mergeCell ref="B71:J71"/>
    <mergeCell ref="B72:J72"/>
    <mergeCell ref="B74:J74"/>
    <mergeCell ref="B87:J87"/>
    <mergeCell ref="B98:C98"/>
    <mergeCell ref="I98:J98"/>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30">
        <v>301</v>
      </c>
      <c r="F2" s="730"/>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8" t="str">
        <f>VLOOKUP($M$1,clientes1,2,FALSE)</f>
        <v>TERRARIUM PROYECT SAC</v>
      </c>
      <c r="D4" s="738"/>
      <c r="E4" s="738"/>
      <c r="F4" s="153" t="s">
        <v>2529</v>
      </c>
      <c r="G4" s="739" t="str">
        <f>VLOOKUP($M$1,clientes1,9,FALSE)</f>
        <v>EDIFICIO LIT</v>
      </c>
      <c r="H4" s="739"/>
      <c r="I4" s="739"/>
      <c r="J4" s="739"/>
      <c r="L4" s="730">
        <v>222</v>
      </c>
      <c r="M4" s="730"/>
    </row>
    <row r="5" spans="2:13" ht="17.25" customHeight="1" x14ac:dyDescent="0.2">
      <c r="B5" s="171" t="s">
        <v>2530</v>
      </c>
      <c r="C5" s="238">
        <f>VLOOKUP($M$1,clientes1,3,FALSE)</f>
        <v>20605976655</v>
      </c>
      <c r="D5" s="152"/>
      <c r="E5" s="152"/>
      <c r="F5" s="154"/>
      <c r="G5" s="739"/>
      <c r="H5" s="739"/>
      <c r="I5" s="739"/>
      <c r="J5" s="739"/>
      <c r="L5" s="732">
        <v>222</v>
      </c>
      <c r="M5" s="732"/>
    </row>
    <row r="6" spans="2:13" ht="16.2" customHeight="1" x14ac:dyDescent="0.2">
      <c r="B6" s="153" t="s">
        <v>2531</v>
      </c>
      <c r="C6" s="738" t="str">
        <f>VLOOKUP($M$1,clientes1,4,FALSE)</f>
        <v>-</v>
      </c>
      <c r="D6" s="738"/>
      <c r="E6" s="738"/>
      <c r="F6" s="153" t="s">
        <v>2532</v>
      </c>
      <c r="G6" s="739" t="str">
        <f>VLOOKUP($M$1,clientes1,10,FALSE)</f>
        <v>AV. JAVIER PRADO OESTE 1485, SAN ISIDRO, LIMA</v>
      </c>
      <c r="H6" s="739"/>
      <c r="I6" s="739"/>
      <c r="J6" s="739"/>
    </row>
    <row r="7" spans="2:13" ht="16.2" customHeight="1" x14ac:dyDescent="0.2">
      <c r="B7" s="153"/>
      <c r="C7" s="738"/>
      <c r="D7" s="738"/>
      <c r="E7" s="738"/>
      <c r="F7" s="154"/>
      <c r="G7" s="739"/>
      <c r="H7" s="739"/>
      <c r="I7" s="739"/>
      <c r="J7" s="739"/>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24">
        <v>956057624</v>
      </c>
      <c r="I9" s="724"/>
      <c r="J9" s="154"/>
    </row>
    <row r="10" spans="2:13" ht="16.2" customHeight="1" x14ac:dyDescent="0.2">
      <c r="B10" s="171" t="s">
        <v>2535</v>
      </c>
      <c r="C10" s="238">
        <f>VLOOKUP($M$1,clientes1,7,FALSE)</f>
        <v>988815251</v>
      </c>
      <c r="D10" s="152"/>
      <c r="E10" s="154"/>
      <c r="F10" s="155" t="s">
        <v>2536</v>
      </c>
      <c r="G10" s="154"/>
      <c r="H10" s="725">
        <v>44769</v>
      </c>
      <c r="I10" s="725"/>
      <c r="J10" s="154"/>
    </row>
    <row r="11" spans="2:13" ht="16.2" customHeight="1" x14ac:dyDescent="0.2">
      <c r="B11" s="171" t="s">
        <v>2537</v>
      </c>
      <c r="C11" s="238" t="str">
        <f>VLOOKUP($M$1,clientes1,8,FALSE)</f>
        <v>whuamani@grupotyc.com</v>
      </c>
      <c r="D11" s="152"/>
      <c r="E11" s="170"/>
      <c r="F11" s="155" t="s">
        <v>2538</v>
      </c>
      <c r="G11" s="154"/>
      <c r="H11" s="725">
        <v>44769</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21.75" customHeight="1" x14ac:dyDescent="0.2">
      <c r="B18" s="116" t="s">
        <v>2011</v>
      </c>
      <c r="C18" s="721" t="e">
        <f t="shared" ref="C18:C27" si="0">VLOOKUP(B18,SERVICIOENSAYOS,2,FALSE)</f>
        <v>#N/A</v>
      </c>
      <c r="D18" s="721"/>
      <c r="E18" s="721"/>
      <c r="F18" s="161" t="e">
        <f t="shared" ref="F18:F27" si="1">+VLOOKUP(B18,SERVICIOENSAYOS,3,FALSE)</f>
        <v>#N/A</v>
      </c>
      <c r="G18" s="722" t="e">
        <f t="shared" ref="G18:G26" si="2">+VLOOKUP(B18,SERVICIOENSAYOS,5,FALSE)</f>
        <v>#N/A</v>
      </c>
      <c r="H18" s="723"/>
      <c r="I18" s="161">
        <v>1</v>
      </c>
      <c r="J18" s="162" t="e">
        <f t="shared" ref="J18:J27" si="3">+G18*I18</f>
        <v>#N/A</v>
      </c>
      <c r="K18" s="148"/>
      <c r="L18" s="134"/>
    </row>
    <row r="19" spans="2:12" ht="21.75" customHeight="1" x14ac:dyDescent="0.2">
      <c r="B19" s="116" t="s">
        <v>2025</v>
      </c>
      <c r="C19" s="721" t="e">
        <f t="shared" si="0"/>
        <v>#N/A</v>
      </c>
      <c r="D19" s="721"/>
      <c r="E19" s="721"/>
      <c r="F19" s="161" t="e">
        <f t="shared" si="1"/>
        <v>#N/A</v>
      </c>
      <c r="G19" s="722" t="e">
        <f t="shared" si="2"/>
        <v>#N/A</v>
      </c>
      <c r="H19" s="723"/>
      <c r="I19" s="161">
        <v>1</v>
      </c>
      <c r="J19" s="162" t="e">
        <f t="shared" si="3"/>
        <v>#N/A</v>
      </c>
      <c r="K19" s="148"/>
      <c r="L19" s="134"/>
    </row>
    <row r="20" spans="2:12" ht="21.75" customHeight="1" x14ac:dyDescent="0.2">
      <c r="B20" s="116" t="s">
        <v>2086</v>
      </c>
      <c r="C20" s="721" t="e">
        <f t="shared" si="0"/>
        <v>#N/A</v>
      </c>
      <c r="D20" s="721"/>
      <c r="E20" s="721"/>
      <c r="F20" s="161" t="e">
        <f t="shared" si="1"/>
        <v>#N/A</v>
      </c>
      <c r="G20" s="722" t="e">
        <f t="shared" si="2"/>
        <v>#N/A</v>
      </c>
      <c r="H20" s="723"/>
      <c r="I20" s="161">
        <v>1</v>
      </c>
      <c r="J20" s="162" t="e">
        <f t="shared" si="3"/>
        <v>#N/A</v>
      </c>
      <c r="K20" s="148"/>
      <c r="L20" s="134"/>
    </row>
    <row r="21" spans="2:12" ht="21.75" customHeight="1" x14ac:dyDescent="0.2">
      <c r="B21" s="116" t="s">
        <v>2423</v>
      </c>
      <c r="C21" s="721" t="e">
        <f t="shared" si="0"/>
        <v>#N/A</v>
      </c>
      <c r="D21" s="721"/>
      <c r="E21" s="721"/>
      <c r="F21" s="161" t="e">
        <f t="shared" si="1"/>
        <v>#N/A</v>
      </c>
      <c r="G21" s="722" t="e">
        <f t="shared" si="2"/>
        <v>#N/A</v>
      </c>
      <c r="H21" s="723"/>
      <c r="I21" s="161">
        <v>1</v>
      </c>
      <c r="J21" s="162" t="e">
        <f t="shared" si="3"/>
        <v>#N/A</v>
      </c>
      <c r="K21" s="148"/>
      <c r="L21" s="134"/>
    </row>
    <row r="22" spans="2:12" ht="21.75" customHeight="1" x14ac:dyDescent="0.2">
      <c r="B22" s="116" t="s">
        <v>1962</v>
      </c>
      <c r="C22" s="721" t="e">
        <f t="shared" si="0"/>
        <v>#N/A</v>
      </c>
      <c r="D22" s="721"/>
      <c r="E22" s="721"/>
      <c r="F22" s="161" t="e">
        <f t="shared" si="1"/>
        <v>#N/A</v>
      </c>
      <c r="G22" s="722" t="e">
        <f t="shared" si="2"/>
        <v>#N/A</v>
      </c>
      <c r="H22" s="723"/>
      <c r="I22" s="161">
        <v>4</v>
      </c>
      <c r="J22" s="162" t="e">
        <f t="shared" si="3"/>
        <v>#N/A</v>
      </c>
      <c r="K22" s="148"/>
      <c r="L22" s="134"/>
    </row>
    <row r="23" spans="2:12" ht="21.75" customHeight="1" x14ac:dyDescent="0.2">
      <c r="B23" s="116" t="s">
        <v>2467</v>
      </c>
      <c r="C23" s="721" t="str">
        <f t="shared" si="0"/>
        <v>Movilización de personal y equipo.</v>
      </c>
      <c r="D23" s="721"/>
      <c r="E23" s="721"/>
      <c r="F23" s="161" t="str">
        <f t="shared" si="1"/>
        <v>-</v>
      </c>
      <c r="G23" s="722" t="str">
        <f t="shared" si="2"/>
        <v>-</v>
      </c>
      <c r="H23" s="723"/>
      <c r="I23" s="161">
        <v>2</v>
      </c>
      <c r="J23" s="162" t="e">
        <f t="shared" si="3"/>
        <v>#VALUE!</v>
      </c>
      <c r="K23" s="148"/>
      <c r="L23" s="134"/>
    </row>
    <row r="24" spans="2:12" ht="21.75" customHeight="1" x14ac:dyDescent="0.2">
      <c r="B24" s="242" t="s">
        <v>2466</v>
      </c>
      <c r="C24" s="716" t="str">
        <f t="shared" si="0"/>
        <v>Movilización de personal y equipo (Densidad campo).</v>
      </c>
      <c r="D24" s="716"/>
      <c r="E24" s="716"/>
      <c r="F24" s="177" t="str">
        <f t="shared" si="1"/>
        <v>-</v>
      </c>
      <c r="G24" s="717" t="str">
        <f t="shared" si="2"/>
        <v>-</v>
      </c>
      <c r="H24" s="718"/>
      <c r="I24" s="177">
        <v>0</v>
      </c>
      <c r="J24" s="178" t="e">
        <f t="shared" si="3"/>
        <v>#VALUE!</v>
      </c>
      <c r="K24" s="148"/>
      <c r="L24" s="134"/>
    </row>
    <row r="25" spans="2:12" ht="21.75" customHeight="1" x14ac:dyDescent="0.2">
      <c r="B25" s="242" t="s">
        <v>1962</v>
      </c>
      <c r="C25" s="716" t="e">
        <f t="shared" si="0"/>
        <v>#N/A</v>
      </c>
      <c r="D25" s="716"/>
      <c r="E25" s="716"/>
      <c r="F25" s="177" t="e">
        <f t="shared" si="1"/>
        <v>#N/A</v>
      </c>
      <c r="G25" s="717" t="e">
        <f t="shared" si="2"/>
        <v>#N/A</v>
      </c>
      <c r="H25" s="718"/>
      <c r="I25" s="177">
        <v>0</v>
      </c>
      <c r="J25" s="178" t="e">
        <f t="shared" si="3"/>
        <v>#N/A</v>
      </c>
      <c r="K25" s="148"/>
      <c r="L25" s="134"/>
    </row>
    <row r="26" spans="2:12" ht="21.75" customHeight="1" x14ac:dyDescent="0.2">
      <c r="B26" s="242" t="s">
        <v>2150</v>
      </c>
      <c r="C26" s="716" t="e">
        <f t="shared" si="0"/>
        <v>#N/A</v>
      </c>
      <c r="D26" s="716"/>
      <c r="E26" s="716"/>
      <c r="F26" s="177" t="e">
        <f t="shared" si="1"/>
        <v>#N/A</v>
      </c>
      <c r="G26" s="717" t="e">
        <f t="shared" si="2"/>
        <v>#N/A</v>
      </c>
      <c r="H26" s="718"/>
      <c r="I26" s="177">
        <v>0</v>
      </c>
      <c r="J26" s="178" t="e">
        <f t="shared" si="3"/>
        <v>#N/A</v>
      </c>
      <c r="K26" s="148"/>
      <c r="L26" s="134"/>
    </row>
    <row r="27" spans="2:12" ht="21.75" customHeight="1" x14ac:dyDescent="0.2">
      <c r="B27" s="242" t="s">
        <v>2466</v>
      </c>
      <c r="C27" s="716" t="str">
        <f t="shared" si="0"/>
        <v>Movilización de personal y equipo (Densidad campo).</v>
      </c>
      <c r="D27" s="716"/>
      <c r="E27" s="716"/>
      <c r="F27" s="177" t="str">
        <f t="shared" si="1"/>
        <v>-</v>
      </c>
      <c r="G27" s="717">
        <v>100</v>
      </c>
      <c r="H27" s="718"/>
      <c r="I27" s="177">
        <v>0</v>
      </c>
      <c r="J27" s="178">
        <f t="shared" si="3"/>
        <v>0</v>
      </c>
      <c r="K27" s="148"/>
      <c r="L27" s="134"/>
    </row>
    <row r="28" spans="2:12" ht="21.75" customHeight="1" x14ac:dyDescent="0.2">
      <c r="B28" s="224"/>
      <c r="C28" s="734"/>
      <c r="D28" s="734"/>
      <c r="E28" s="734"/>
      <c r="F28" s="240"/>
      <c r="G28" s="735"/>
      <c r="H28" s="736"/>
      <c r="I28" s="240"/>
      <c r="J28" s="241"/>
      <c r="K28" s="148"/>
      <c r="L28" s="134"/>
    </row>
    <row r="29" spans="2:12" ht="21.75" hidden="1" customHeight="1" x14ac:dyDescent="0.2">
      <c r="B29" s="224"/>
      <c r="C29" s="734"/>
      <c r="D29" s="734"/>
      <c r="E29" s="734"/>
      <c r="F29" s="240"/>
      <c r="G29" s="735"/>
      <c r="H29" s="736"/>
      <c r="I29" s="240"/>
      <c r="J29" s="241"/>
      <c r="K29" s="148"/>
      <c r="L29" s="134"/>
    </row>
    <row r="30" spans="2:12" ht="19.95" hidden="1" customHeight="1" x14ac:dyDescent="0.2">
      <c r="B30" s="176"/>
      <c r="C30" s="737"/>
      <c r="D30" s="737"/>
      <c r="E30" s="737"/>
      <c r="F30" s="177"/>
      <c r="G30" s="717"/>
      <c r="H30" s="718"/>
      <c r="I30" s="177"/>
      <c r="J30" s="178"/>
      <c r="K30" s="149"/>
    </row>
    <row r="31" spans="2:12" ht="16.95" customHeight="1" x14ac:dyDescent="0.25">
      <c r="B31" s="209" t="s">
        <v>2542</v>
      </c>
      <c r="C31" s="55"/>
      <c r="D31" s="53"/>
      <c r="E31" s="53"/>
      <c r="F31" s="53"/>
      <c r="G31" s="719" t="s">
        <v>2515</v>
      </c>
      <c r="H31" s="719"/>
      <c r="I31" s="719"/>
      <c r="J31" s="163" t="e">
        <f>SUM(J18:J30)</f>
        <v>#N/A</v>
      </c>
      <c r="K31" s="52"/>
    </row>
    <row r="32" spans="2:12" ht="16.95" customHeight="1" x14ac:dyDescent="0.25">
      <c r="B32" s="55"/>
      <c r="C32" s="55"/>
      <c r="D32" s="53"/>
      <c r="E32" s="53"/>
      <c r="F32" s="53"/>
      <c r="G32" s="719" t="s">
        <v>2516</v>
      </c>
      <c r="H32" s="719"/>
      <c r="I32" s="719"/>
      <c r="J32" s="163" t="e">
        <f>+J31*0.18</f>
        <v>#N/A</v>
      </c>
      <c r="K32" s="52"/>
    </row>
    <row r="33" spans="2:20" ht="16.95" customHeight="1" x14ac:dyDescent="0.25">
      <c r="B33" s="55"/>
      <c r="C33" s="55"/>
      <c r="D33" s="53"/>
      <c r="E33" s="53"/>
      <c r="F33" s="53"/>
      <c r="G33" s="720" t="s">
        <v>2543</v>
      </c>
      <c r="H33" s="720"/>
      <c r="I33" s="720"/>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12" t="s">
        <v>2544</v>
      </c>
      <c r="C37" s="712"/>
      <c r="D37" s="712"/>
      <c r="E37" s="712"/>
      <c r="F37" s="712"/>
      <c r="G37" s="712"/>
      <c r="H37" s="712"/>
      <c r="I37" s="712"/>
      <c r="J37" s="712"/>
      <c r="K37" s="150"/>
    </row>
    <row r="38" spans="2:20" ht="21" customHeight="1" x14ac:dyDescent="0.2">
      <c r="B38" s="712" t="s">
        <v>2596</v>
      </c>
      <c r="C38" s="712"/>
      <c r="D38" s="712"/>
      <c r="E38" s="712"/>
      <c r="F38" s="712"/>
      <c r="G38" s="712"/>
      <c r="H38" s="712"/>
      <c r="I38" s="712"/>
      <c r="J38" s="712"/>
      <c r="K38" s="150"/>
    </row>
    <row r="39" spans="2:20" ht="41.25" customHeight="1" x14ac:dyDescent="0.2">
      <c r="B39" s="715" t="s">
        <v>2597</v>
      </c>
      <c r="C39" s="715"/>
      <c r="D39" s="715"/>
      <c r="E39" s="715"/>
      <c r="F39" s="715"/>
      <c r="G39" s="715"/>
      <c r="H39" s="715"/>
      <c r="I39" s="715"/>
      <c r="J39" s="715"/>
      <c r="K39" s="150"/>
      <c r="L39" s="715" t="s">
        <v>2597</v>
      </c>
      <c r="M39" s="715"/>
      <c r="N39" s="715"/>
      <c r="O39" s="715"/>
      <c r="P39" s="715"/>
      <c r="Q39" s="715"/>
      <c r="R39" s="715"/>
      <c r="S39" s="715"/>
      <c r="T39" s="715"/>
    </row>
    <row r="40" spans="2:20" ht="45.75" customHeight="1" x14ac:dyDescent="0.2">
      <c r="B40" s="707" t="s">
        <v>2558</v>
      </c>
      <c r="C40" s="707"/>
      <c r="D40" s="707"/>
      <c r="E40" s="707"/>
      <c r="F40" s="707"/>
      <c r="G40" s="707"/>
      <c r="H40" s="707"/>
      <c r="I40" s="707"/>
      <c r="J40" s="707"/>
      <c r="K40" s="150"/>
      <c r="L40" s="707" t="s">
        <v>2558</v>
      </c>
      <c r="M40" s="707"/>
      <c r="N40" s="707"/>
      <c r="O40" s="707"/>
      <c r="P40" s="707"/>
      <c r="Q40" s="707"/>
      <c r="R40" s="707"/>
      <c r="S40" s="707"/>
      <c r="T40" s="707"/>
    </row>
    <row r="41" spans="2:20" s="127" customFormat="1" ht="12.75" hidden="1" customHeight="1" x14ac:dyDescent="0.2">
      <c r="B41" s="714" t="s">
        <v>2598</v>
      </c>
      <c r="C41" s="714"/>
      <c r="D41" s="714"/>
      <c r="E41" s="714"/>
      <c r="F41" s="714"/>
      <c r="G41" s="714"/>
      <c r="H41" s="714"/>
      <c r="I41" s="714"/>
      <c r="J41" s="714"/>
      <c r="K41" s="213"/>
      <c r="L41" s="715" t="s">
        <v>2599</v>
      </c>
      <c r="M41" s="715"/>
      <c r="N41" s="715"/>
      <c r="O41" s="715"/>
      <c r="P41" s="715"/>
      <c r="Q41" s="715"/>
      <c r="R41" s="715"/>
      <c r="S41" s="715"/>
      <c r="T41" s="715"/>
    </row>
    <row r="42" spans="2:20" ht="12.75" hidden="1" customHeight="1" x14ac:dyDescent="0.2">
      <c r="B42" s="714" t="s">
        <v>2600</v>
      </c>
      <c r="C42" s="714"/>
      <c r="D42" s="714"/>
      <c r="E42" s="714"/>
      <c r="F42" s="714"/>
      <c r="G42" s="714"/>
      <c r="H42" s="714"/>
      <c r="I42" s="714"/>
      <c r="J42" s="714"/>
      <c r="K42" s="150"/>
      <c r="L42" s="707" t="s">
        <v>2600</v>
      </c>
      <c r="M42" s="707"/>
      <c r="N42" s="707"/>
      <c r="O42" s="707"/>
      <c r="P42" s="707"/>
      <c r="Q42" s="707"/>
      <c r="R42" s="707"/>
      <c r="S42" s="707"/>
      <c r="T42" s="707"/>
    </row>
    <row r="43" spans="2:20" ht="48" customHeight="1" x14ac:dyDescent="0.2">
      <c r="B43" s="707" t="s">
        <v>2601</v>
      </c>
      <c r="C43" s="707"/>
      <c r="D43" s="707"/>
      <c r="E43" s="707"/>
      <c r="F43" s="707"/>
      <c r="G43" s="707"/>
      <c r="H43" s="707"/>
      <c r="I43" s="707"/>
      <c r="J43" s="707"/>
      <c r="K43" s="150"/>
      <c r="L43" s="712" t="s">
        <v>2602</v>
      </c>
      <c r="M43" s="712"/>
      <c r="N43" s="712"/>
      <c r="O43" s="712"/>
      <c r="P43" s="712"/>
      <c r="Q43" s="712"/>
      <c r="R43" s="712"/>
      <c r="S43" s="712"/>
      <c r="T43" s="712"/>
    </row>
    <row r="44" spans="2:20" ht="19.5" hidden="1" customHeight="1" x14ac:dyDescent="0.2">
      <c r="B44" s="712" t="s">
        <v>2603</v>
      </c>
      <c r="C44" s="712"/>
      <c r="D44" s="712"/>
      <c r="E44" s="712"/>
      <c r="F44" s="712"/>
      <c r="G44" s="712"/>
      <c r="H44" s="712"/>
      <c r="I44" s="712"/>
      <c r="J44" s="712"/>
      <c r="K44" s="150"/>
      <c r="L44" s="712" t="s">
        <v>2604</v>
      </c>
      <c r="M44" s="712"/>
      <c r="N44" s="712"/>
      <c r="O44" s="712"/>
      <c r="P44" s="712"/>
      <c r="Q44" s="712"/>
      <c r="R44" s="712"/>
      <c r="S44" s="712"/>
      <c r="T44" s="712"/>
    </row>
    <row r="45" spans="2:20" ht="15.75" customHeight="1" x14ac:dyDescent="0.2">
      <c r="B45" s="712" t="s">
        <v>2603</v>
      </c>
      <c r="C45" s="712"/>
      <c r="D45" s="712"/>
      <c r="E45" s="712"/>
      <c r="F45" s="712"/>
      <c r="G45" s="712"/>
      <c r="H45" s="712"/>
      <c r="I45" s="712"/>
      <c r="J45" s="712"/>
      <c r="K45" s="150"/>
      <c r="L45" s="712" t="s">
        <v>2603</v>
      </c>
      <c r="M45" s="712"/>
      <c r="N45" s="712"/>
      <c r="O45" s="712"/>
      <c r="P45" s="712"/>
      <c r="Q45" s="712"/>
      <c r="R45" s="712"/>
      <c r="S45" s="712"/>
      <c r="T45" s="712"/>
    </row>
    <row r="46" spans="2:20" ht="31.5" hidden="1" customHeight="1" x14ac:dyDescent="0.2">
      <c r="B46" s="715" t="s">
        <v>2570</v>
      </c>
      <c r="C46" s="715"/>
      <c r="D46" s="715"/>
      <c r="E46" s="715"/>
      <c r="F46" s="715"/>
      <c r="G46" s="715"/>
      <c r="H46" s="715"/>
      <c r="I46" s="715"/>
      <c r="J46" s="715"/>
      <c r="K46" s="150"/>
    </row>
    <row r="47" spans="2:20" ht="3" customHeight="1" x14ac:dyDescent="0.2">
      <c r="B47" s="714" t="s">
        <v>2605</v>
      </c>
      <c r="C47" s="714"/>
      <c r="D47" s="714"/>
      <c r="E47" s="714"/>
      <c r="F47" s="714"/>
      <c r="G47" s="714"/>
      <c r="H47" s="714"/>
      <c r="I47" s="714"/>
      <c r="J47" s="714"/>
      <c r="K47" s="150"/>
      <c r="L47" s="707" t="s">
        <v>2606</v>
      </c>
      <c r="M47" s="707"/>
      <c r="N47" s="707"/>
      <c r="O47" s="707"/>
      <c r="P47" s="707"/>
      <c r="Q47" s="707"/>
      <c r="R47" s="707"/>
      <c r="S47" s="707"/>
      <c r="T47" s="707"/>
    </row>
    <row r="48" spans="2:20" ht="3.75" customHeight="1" x14ac:dyDescent="0.2">
      <c r="B48" s="302"/>
      <c r="C48" s="302"/>
      <c r="D48" s="302"/>
      <c r="E48" s="302"/>
      <c r="F48" s="302"/>
      <c r="G48" s="302"/>
      <c r="H48" s="302"/>
      <c r="I48" s="302"/>
      <c r="J48" s="302"/>
      <c r="K48" s="150"/>
    </row>
    <row r="49" spans="2:21" ht="49.5" customHeight="1" x14ac:dyDescent="0.2">
      <c r="B49" s="706" t="s">
        <v>2571</v>
      </c>
      <c r="C49" s="706"/>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13" t="s">
        <v>2572</v>
      </c>
      <c r="C51" s="713"/>
      <c r="D51" s="713"/>
      <c r="E51" s="713"/>
      <c r="F51" s="713"/>
      <c r="G51" s="713"/>
      <c r="H51" s="713"/>
      <c r="I51" s="713"/>
      <c r="J51" s="713"/>
      <c r="K51" s="150"/>
    </row>
    <row r="52" spans="2:21" ht="30" customHeight="1" x14ac:dyDescent="0.2">
      <c r="B52" s="707" t="s">
        <v>2573</v>
      </c>
      <c r="C52" s="707"/>
      <c r="D52" s="707"/>
      <c r="E52" s="707"/>
      <c r="F52" s="707"/>
      <c r="G52" s="707"/>
      <c r="H52" s="707"/>
      <c r="I52" s="707"/>
      <c r="J52" s="707"/>
      <c r="K52" s="150"/>
    </row>
    <row r="53" spans="2:21" ht="25.5" customHeight="1" x14ac:dyDescent="0.2">
      <c r="B53" s="707" t="s">
        <v>2574</v>
      </c>
      <c r="C53" s="707"/>
      <c r="D53" s="707"/>
      <c r="E53" s="707"/>
      <c r="F53" s="707"/>
      <c r="G53" s="707"/>
      <c r="H53" s="707"/>
      <c r="I53" s="707"/>
      <c r="J53" s="707"/>
      <c r="K53" s="150"/>
    </row>
    <row r="54" spans="2:21" ht="31.5" customHeight="1" x14ac:dyDescent="0.2">
      <c r="B54" s="707" t="s">
        <v>2575</v>
      </c>
      <c r="C54" s="707"/>
      <c r="D54" s="707"/>
      <c r="E54" s="707"/>
      <c r="F54" s="707"/>
      <c r="G54" s="707"/>
      <c r="H54" s="707"/>
      <c r="I54" s="707"/>
      <c r="J54" s="707"/>
      <c r="K54" s="150"/>
    </row>
    <row r="55" spans="2:21" ht="45" customHeight="1" x14ac:dyDescent="0.2">
      <c r="B55" s="707" t="s">
        <v>2577</v>
      </c>
      <c r="C55" s="707"/>
      <c r="D55" s="707"/>
      <c r="E55" s="707"/>
      <c r="F55" s="707"/>
      <c r="G55" s="707"/>
      <c r="H55" s="707"/>
      <c r="I55" s="707"/>
      <c r="J55" s="707"/>
      <c r="K55" s="150"/>
    </row>
    <row r="56" spans="2:21" ht="28.5" customHeight="1" x14ac:dyDescent="0.2">
      <c r="B56" s="707" t="s">
        <v>2578</v>
      </c>
      <c r="C56" s="707"/>
      <c r="D56" s="707"/>
      <c r="E56" s="707"/>
      <c r="F56" s="707"/>
      <c r="G56" s="707"/>
      <c r="H56" s="707"/>
      <c r="I56" s="707"/>
      <c r="J56" s="707"/>
      <c r="K56" s="150"/>
    </row>
    <row r="57" spans="2:21" ht="27" customHeight="1" x14ac:dyDescent="0.2">
      <c r="B57" s="707" t="s">
        <v>2579</v>
      </c>
      <c r="C57" s="707"/>
      <c r="D57" s="707"/>
      <c r="E57" s="707"/>
      <c r="F57" s="707"/>
      <c r="G57" s="707"/>
      <c r="H57" s="707"/>
      <c r="I57" s="707"/>
      <c r="J57" s="707"/>
      <c r="K57" s="150"/>
      <c r="L57" s="90"/>
      <c r="M57" s="82"/>
      <c r="N57" s="83"/>
    </row>
    <row r="58" spans="2:21" ht="48.75" customHeight="1" x14ac:dyDescent="0.2">
      <c r="B58" s="707" t="s">
        <v>2580</v>
      </c>
      <c r="C58" s="707"/>
      <c r="D58" s="707"/>
      <c r="E58" s="707"/>
      <c r="F58" s="707"/>
      <c r="G58" s="707"/>
      <c r="H58" s="707"/>
      <c r="I58" s="707"/>
      <c r="J58" s="707"/>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08"/>
      <c r="C60" s="708"/>
      <c r="D60" s="708"/>
      <c r="E60" s="708"/>
      <c r="F60" s="708"/>
      <c r="G60" s="708"/>
      <c r="H60" s="708"/>
      <c r="I60" s="708"/>
      <c r="J60" s="708"/>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09" t="s">
        <v>2588</v>
      </c>
      <c r="C73" s="709"/>
      <c r="D73" s="709"/>
      <c r="E73" s="709"/>
      <c r="F73" s="709"/>
      <c r="G73" s="709"/>
      <c r="H73" s="709"/>
      <c r="I73" s="709"/>
      <c r="J73" s="709"/>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11" t="s">
        <v>2485</v>
      </c>
      <c r="J85" s="711"/>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06" t="s">
        <v>2591</v>
      </c>
      <c r="C88" s="706"/>
    </row>
    <row r="89" spans="2:14" ht="16.2" customHeight="1" x14ac:dyDescent="0.2">
      <c r="K89" s="146"/>
    </row>
    <row r="92" spans="2:14" ht="57.75" customHeight="1" x14ac:dyDescent="0.2"/>
  </sheetData>
  <mergeCells count="74">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L47:T47"/>
    <mergeCell ref="C27:E27"/>
    <mergeCell ref="G27:H27"/>
    <mergeCell ref="C28:E28"/>
    <mergeCell ref="G28:H28"/>
    <mergeCell ref="L44:T44"/>
    <mergeCell ref="L45:T45"/>
    <mergeCell ref="L39:T39"/>
    <mergeCell ref="L40:T40"/>
    <mergeCell ref="L41:T41"/>
    <mergeCell ref="L42:T42"/>
    <mergeCell ref="L43:T43"/>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30">
        <v>303</v>
      </c>
      <c r="F2" s="730"/>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8" t="str">
        <f>VLOOKUP($M$1,clientes1,2,FALSE)</f>
        <v>AZ INVERSIONES INMOBILIARIAS SAC</v>
      </c>
      <c r="D4" s="738"/>
      <c r="E4" s="738"/>
      <c r="F4" s="153" t="s">
        <v>2529</v>
      </c>
      <c r="G4" s="739" t="str">
        <f>VLOOKUP($M$1,clientes1,9,FALSE)</f>
        <v>-</v>
      </c>
      <c r="H4" s="739"/>
      <c r="I4" s="739"/>
      <c r="J4" s="739"/>
      <c r="L4" s="730">
        <v>222</v>
      </c>
      <c r="M4" s="730"/>
    </row>
    <row r="5" spans="2:19" ht="17.25" customHeight="1" x14ac:dyDescent="0.2">
      <c r="B5" s="171" t="s">
        <v>2530</v>
      </c>
      <c r="C5" s="238">
        <f>VLOOKUP($M$1,clientes1,3,FALSE)</f>
        <v>20516862506</v>
      </c>
      <c r="D5" s="152"/>
      <c r="E5" s="152"/>
      <c r="F5" s="154"/>
      <c r="G5" s="739"/>
      <c r="H5" s="739"/>
      <c r="I5" s="739"/>
      <c r="J5" s="739"/>
      <c r="L5" s="732">
        <v>222</v>
      </c>
      <c r="M5" s="732"/>
    </row>
    <row r="6" spans="2:19" ht="16.2" customHeight="1" x14ac:dyDescent="0.2">
      <c r="B6" s="153" t="s">
        <v>2531</v>
      </c>
      <c r="C6" s="738" t="str">
        <f>VLOOKUP($M$1,clientes1,4,FALSE)</f>
        <v xml:space="preserve">AV. JOSE PARDO NRO. 434 INT. 1302 URB. SURQUILLO </v>
      </c>
      <c r="D6" s="738"/>
      <c r="E6" s="738"/>
      <c r="F6" s="153" t="s">
        <v>2532</v>
      </c>
      <c r="G6" s="739" t="str">
        <f>VLOOKUP($M$1,clientes1,10,FALSE)</f>
        <v>-</v>
      </c>
      <c r="H6" s="739"/>
      <c r="I6" s="739"/>
      <c r="J6" s="739"/>
    </row>
    <row r="7" spans="2:19" ht="16.2" customHeight="1" x14ac:dyDescent="0.2">
      <c r="B7" s="153"/>
      <c r="C7" s="738"/>
      <c r="D7" s="738"/>
      <c r="E7" s="738"/>
      <c r="F7" s="154"/>
      <c r="G7" s="739"/>
      <c r="H7" s="739"/>
      <c r="I7" s="739"/>
      <c r="J7" s="739"/>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24">
        <v>956057624</v>
      </c>
      <c r="I9" s="724"/>
      <c r="J9" s="154"/>
    </row>
    <row r="10" spans="2:19" ht="16.2" customHeight="1" x14ac:dyDescent="0.2">
      <c r="B10" s="171" t="s">
        <v>2535</v>
      </c>
      <c r="C10" s="238">
        <f>VLOOKUP($M$1,clientes1,7,FALSE)</f>
        <v>983510023</v>
      </c>
      <c r="D10" s="152"/>
      <c r="E10" s="154"/>
      <c r="F10" s="155" t="s">
        <v>2536</v>
      </c>
      <c r="G10" s="154"/>
      <c r="H10" s="725">
        <v>44772</v>
      </c>
      <c r="I10" s="725"/>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25">
        <v>44772</v>
      </c>
      <c r="I11" s="725"/>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26" t="s">
        <v>2509</v>
      </c>
      <c r="C14" s="726"/>
      <c r="D14" s="726"/>
      <c r="E14" s="726"/>
      <c r="F14" s="726"/>
      <c r="G14" s="726"/>
      <c r="H14" s="726"/>
      <c r="I14" s="726"/>
      <c r="J14" s="726"/>
      <c r="K14" s="145"/>
      <c r="L14" s="145"/>
    </row>
    <row r="15" spans="2:19" ht="16.2" customHeight="1" x14ac:dyDescent="0.2">
      <c r="B15" s="726"/>
      <c r="C15" s="726"/>
      <c r="D15" s="726"/>
      <c r="E15" s="726"/>
      <c r="F15" s="726"/>
      <c r="G15" s="726"/>
      <c r="H15" s="726"/>
      <c r="I15" s="726"/>
      <c r="J15" s="726"/>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27" t="s">
        <v>2593</v>
      </c>
      <c r="D17" s="727"/>
      <c r="E17" s="727"/>
      <c r="F17" s="313" t="s">
        <v>2511</v>
      </c>
      <c r="G17" s="728" t="s">
        <v>2594</v>
      </c>
      <c r="H17" s="729"/>
      <c r="I17" s="308" t="s">
        <v>2513</v>
      </c>
      <c r="J17" s="75" t="s">
        <v>2514</v>
      </c>
      <c r="K17" s="147"/>
    </row>
    <row r="18" spans="2:16" ht="24.75" customHeight="1" x14ac:dyDescent="0.2">
      <c r="B18" s="124" t="s">
        <v>2150</v>
      </c>
      <c r="C18" s="721" t="e">
        <f>VLOOKUP(B18,SERVICIOENSAYOS,2,FALSE)</f>
        <v>#N/A</v>
      </c>
      <c r="D18" s="721"/>
      <c r="E18" s="721"/>
      <c r="F18" s="161" t="e">
        <f>+VLOOKUP(B18,SERVICIOENSAYOS,3,FALSE)</f>
        <v>#N/A</v>
      </c>
      <c r="G18" s="722" t="e">
        <f>+VLOOKUP(B18,SERVICIOENSAYOS,5,FALSE)</f>
        <v>#N/A</v>
      </c>
      <c r="H18" s="723"/>
      <c r="I18" s="161">
        <v>24</v>
      </c>
      <c r="J18" s="162" t="e">
        <f>+G18*I18</f>
        <v>#N/A</v>
      </c>
      <c r="K18" s="149"/>
      <c r="M18" s="235"/>
      <c r="N18" s="235"/>
      <c r="O18" s="236"/>
      <c r="P18" s="131"/>
    </row>
    <row r="19" spans="2:16" ht="24.75" customHeight="1" x14ac:dyDescent="0.2">
      <c r="B19" s="124" t="s">
        <v>2466</v>
      </c>
      <c r="C19" s="721" t="str">
        <f>VLOOKUP(B19,SERVICIOENSAYOS,2,FALSE)</f>
        <v>Movilización de personal y equipo (Densidad campo).</v>
      </c>
      <c r="D19" s="721"/>
      <c r="E19" s="721"/>
      <c r="F19" s="161" t="str">
        <f>+VLOOKUP(B19,SERVICIOENSAYOS,3,FALSE)</f>
        <v>-</v>
      </c>
      <c r="G19" s="722" t="str">
        <f>+VLOOKUP(B19,SERVICIOENSAYOS,5,FALSE)</f>
        <v>-</v>
      </c>
      <c r="H19" s="723"/>
      <c r="I19" s="161">
        <v>1</v>
      </c>
      <c r="J19" s="162" t="e">
        <f>+G19*I19</f>
        <v>#VALUE!</v>
      </c>
      <c r="K19" s="149"/>
      <c r="M19" s="235"/>
      <c r="N19" s="235"/>
      <c r="O19" s="236"/>
      <c r="P19" s="131"/>
    </row>
    <row r="20" spans="2:16" ht="20.25" customHeight="1" x14ac:dyDescent="0.2">
      <c r="B20" s="239" t="s">
        <v>2110</v>
      </c>
      <c r="C20" s="716" t="str">
        <f>VLOOKUP(B20,SERVICIOENSAYOS,2,FALSE)</f>
        <v>Contenido Sales solubles, fino o grueso.</v>
      </c>
      <c r="D20" s="716"/>
      <c r="E20" s="716"/>
      <c r="F20" s="177" t="str">
        <f>+VLOOKUP(B20,SERVICIOENSAYOS,3,FALSE)</f>
        <v>MTC E-219</v>
      </c>
      <c r="G20" s="717" t="str">
        <f>+VLOOKUP(B20,SERVICIOENSAYOS,5,FALSE)</f>
        <v>MTC E-219</v>
      </c>
      <c r="H20" s="718"/>
      <c r="I20" s="177">
        <v>0</v>
      </c>
      <c r="J20" s="178" t="e">
        <f>+G20*I20</f>
        <v>#VALUE!</v>
      </c>
      <c r="K20" s="149"/>
      <c r="M20" s="235"/>
      <c r="N20" s="235"/>
      <c r="O20" s="236"/>
      <c r="P20" s="131"/>
    </row>
    <row r="21" spans="2:16" ht="20.25" customHeight="1" x14ac:dyDescent="0.2">
      <c r="B21" s="214"/>
      <c r="C21" s="740"/>
      <c r="D21" s="740"/>
      <c r="E21" s="740"/>
      <c r="F21" s="307"/>
      <c r="G21" s="741"/>
      <c r="H21" s="742"/>
      <c r="I21" s="307"/>
      <c r="J21" s="163"/>
      <c r="K21" s="149"/>
      <c r="M21" s="235"/>
      <c r="N21" s="235"/>
      <c r="O21" s="236"/>
      <c r="P21" s="131"/>
    </row>
    <row r="22" spans="2:16" ht="20.25" customHeight="1" x14ac:dyDescent="0.2">
      <c r="B22" s="214"/>
      <c r="C22" s="740"/>
      <c r="D22" s="740"/>
      <c r="E22" s="740"/>
      <c r="F22" s="307"/>
      <c r="G22" s="741"/>
      <c r="H22" s="742"/>
      <c r="I22" s="307"/>
      <c r="J22" s="163"/>
      <c r="K22" s="149"/>
      <c r="M22" s="235"/>
      <c r="N22" s="235"/>
      <c r="O22" s="236"/>
      <c r="P22" s="131"/>
    </row>
    <row r="23" spans="2:16" ht="20.25" customHeight="1" x14ac:dyDescent="0.2">
      <c r="B23" s="176"/>
      <c r="C23" s="737"/>
      <c r="D23" s="737"/>
      <c r="E23" s="737"/>
      <c r="F23" s="177"/>
      <c r="G23" s="717"/>
      <c r="H23" s="718"/>
      <c r="I23" s="177"/>
      <c r="J23" s="178"/>
      <c r="K23" s="149"/>
      <c r="M23" s="235"/>
      <c r="N23" s="235"/>
      <c r="P23" s="131"/>
    </row>
    <row r="24" spans="2:16" ht="20.25" customHeight="1" x14ac:dyDescent="0.2">
      <c r="B24" s="176"/>
      <c r="C24" s="737"/>
      <c r="D24" s="737"/>
      <c r="E24" s="737"/>
      <c r="F24" s="177"/>
      <c r="G24" s="717"/>
      <c r="H24" s="718"/>
      <c r="I24" s="177"/>
      <c r="J24" s="178"/>
      <c r="K24" s="149"/>
      <c r="M24" s="235"/>
      <c r="N24" s="235"/>
    </row>
    <row r="25" spans="2:16" ht="16.95" customHeight="1" x14ac:dyDescent="0.25">
      <c r="B25" s="209" t="s">
        <v>2542</v>
      </c>
      <c r="C25" s="55"/>
      <c r="D25" s="53"/>
      <c r="E25" s="53"/>
      <c r="F25" s="53"/>
      <c r="G25" s="719" t="s">
        <v>2515</v>
      </c>
      <c r="H25" s="719"/>
      <c r="I25" s="719"/>
      <c r="J25" s="163" t="e">
        <f>SUM(J18:J24)</f>
        <v>#N/A</v>
      </c>
      <c r="K25" s="52"/>
      <c r="M25" s="235"/>
      <c r="N25" s="235"/>
    </row>
    <row r="26" spans="2:16" ht="16.95" customHeight="1" x14ac:dyDescent="0.25">
      <c r="B26" s="55"/>
      <c r="C26" s="55"/>
      <c r="D26" s="53"/>
      <c r="E26" s="53"/>
      <c r="F26" s="53"/>
      <c r="G26" s="719" t="s">
        <v>2516</v>
      </c>
      <c r="H26" s="719"/>
      <c r="I26" s="719"/>
      <c r="J26" s="163" t="e">
        <f>+J25*0.18</f>
        <v>#N/A</v>
      </c>
      <c r="K26" s="52"/>
    </row>
    <row r="27" spans="2:16" ht="16.95" customHeight="1" x14ac:dyDescent="0.25">
      <c r="B27" s="55"/>
      <c r="C27" s="55"/>
      <c r="D27" s="53"/>
      <c r="E27" s="53"/>
      <c r="F27" s="53"/>
      <c r="G27" s="720" t="s">
        <v>2543</v>
      </c>
      <c r="H27" s="720"/>
      <c r="I27" s="720"/>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12" t="s">
        <v>2544</v>
      </c>
      <c r="C31" s="712"/>
      <c r="D31" s="712"/>
      <c r="E31" s="712"/>
      <c r="F31" s="712"/>
      <c r="G31" s="712"/>
      <c r="H31" s="712"/>
      <c r="I31" s="712"/>
      <c r="J31" s="712"/>
      <c r="K31" s="150"/>
    </row>
    <row r="32" spans="2:16" ht="18.600000000000001" customHeight="1" x14ac:dyDescent="0.2">
      <c r="B32" s="712" t="s">
        <v>2596</v>
      </c>
      <c r="C32" s="712"/>
      <c r="D32" s="712"/>
      <c r="E32" s="712"/>
      <c r="F32" s="712"/>
      <c r="G32" s="712"/>
      <c r="H32" s="712"/>
      <c r="I32" s="712"/>
      <c r="J32" s="712"/>
      <c r="K32" s="150"/>
    </row>
    <row r="33" spans="2:20" ht="32.25" hidden="1" customHeight="1" x14ac:dyDescent="0.2">
      <c r="B33" s="715" t="s">
        <v>2607</v>
      </c>
      <c r="C33" s="715"/>
      <c r="D33" s="715"/>
      <c r="E33" s="715"/>
      <c r="F33" s="715"/>
      <c r="G33" s="715"/>
      <c r="H33" s="715"/>
      <c r="I33" s="715"/>
      <c r="J33" s="715"/>
      <c r="K33" s="150"/>
    </row>
    <row r="34" spans="2:20" ht="45" customHeight="1" x14ac:dyDescent="0.2">
      <c r="B34" s="715" t="s">
        <v>2608</v>
      </c>
      <c r="C34" s="715"/>
      <c r="D34" s="715"/>
      <c r="E34" s="715"/>
      <c r="F34" s="715"/>
      <c r="G34" s="715"/>
      <c r="H34" s="715"/>
      <c r="I34" s="715"/>
      <c r="J34" s="715"/>
      <c r="K34" s="150"/>
      <c r="L34" s="715" t="s">
        <v>2609</v>
      </c>
      <c r="M34" s="715"/>
      <c r="N34" s="715"/>
      <c r="O34" s="715"/>
      <c r="P34" s="715"/>
      <c r="Q34" s="715"/>
      <c r="R34" s="715"/>
      <c r="S34" s="715"/>
      <c r="T34" s="715"/>
    </row>
    <row r="35" spans="2:20" ht="19.5" hidden="1" customHeight="1" x14ac:dyDescent="0.2">
      <c r="B35" s="715" t="s">
        <v>2549</v>
      </c>
      <c r="C35" s="715"/>
      <c r="D35" s="715"/>
      <c r="E35" s="715"/>
      <c r="F35" s="715"/>
      <c r="G35" s="715"/>
      <c r="H35" s="715"/>
      <c r="I35" s="715"/>
      <c r="J35" s="715"/>
      <c r="K35" s="150"/>
      <c r="L35" s="715" t="s">
        <v>2549</v>
      </c>
      <c r="M35" s="715"/>
      <c r="N35" s="715"/>
      <c r="O35" s="715"/>
      <c r="P35" s="715"/>
      <c r="Q35" s="715"/>
      <c r="R35" s="715"/>
      <c r="S35" s="715"/>
      <c r="T35" s="715"/>
    </row>
    <row r="36" spans="2:20" ht="46.5" hidden="1" customHeight="1" x14ac:dyDescent="0.2">
      <c r="B36" s="715" t="s">
        <v>2550</v>
      </c>
      <c r="C36" s="715"/>
      <c r="D36" s="715"/>
      <c r="E36" s="715"/>
      <c r="F36" s="715"/>
      <c r="G36" s="715"/>
      <c r="H36" s="715"/>
      <c r="I36" s="715"/>
      <c r="J36" s="715"/>
      <c r="K36" s="150"/>
      <c r="L36" s="715" t="s">
        <v>2550</v>
      </c>
      <c r="M36" s="715"/>
      <c r="N36" s="715"/>
      <c r="O36" s="715"/>
      <c r="P36" s="715"/>
      <c r="Q36" s="715"/>
      <c r="R36" s="715"/>
      <c r="S36" s="715"/>
      <c r="T36" s="715"/>
    </row>
    <row r="37" spans="2:20" ht="2.25" customHeight="1" x14ac:dyDescent="0.2">
      <c r="B37" s="715"/>
      <c r="C37" s="715"/>
      <c r="D37" s="715"/>
      <c r="E37" s="715"/>
      <c r="F37" s="715"/>
      <c r="G37" s="715"/>
      <c r="H37" s="715"/>
      <c r="I37" s="715"/>
      <c r="J37" s="715"/>
      <c r="K37" s="150"/>
      <c r="L37" s="715" t="s">
        <v>2610</v>
      </c>
      <c r="M37" s="715"/>
      <c r="N37" s="715"/>
      <c r="O37" s="715"/>
      <c r="P37" s="715"/>
      <c r="Q37" s="715"/>
      <c r="R37" s="715"/>
      <c r="S37" s="715"/>
      <c r="T37" s="715"/>
    </row>
    <row r="38" spans="2:20" ht="30" customHeight="1" x14ac:dyDescent="0.2">
      <c r="B38" s="715" t="s">
        <v>2570</v>
      </c>
      <c r="C38" s="715"/>
      <c r="D38" s="715"/>
      <c r="E38" s="715"/>
      <c r="F38" s="715"/>
      <c r="G38" s="715"/>
      <c r="H38" s="715"/>
      <c r="I38" s="715"/>
      <c r="J38" s="715"/>
      <c r="K38" s="150"/>
      <c r="L38" s="715" t="s">
        <v>2570</v>
      </c>
      <c r="M38" s="715"/>
      <c r="N38" s="715"/>
      <c r="O38" s="715"/>
      <c r="P38" s="715"/>
      <c r="Q38" s="715"/>
      <c r="R38" s="715"/>
      <c r="S38" s="715"/>
      <c r="T38" s="715"/>
    </row>
    <row r="39" spans="2:20" ht="126" customHeight="1" x14ac:dyDescent="0.2">
      <c r="B39" s="743"/>
      <c r="C39" s="743"/>
      <c r="D39" s="743"/>
      <c r="E39" s="743"/>
      <c r="F39" s="743"/>
      <c r="G39" s="743"/>
      <c r="H39" s="743"/>
      <c r="I39" s="743"/>
      <c r="J39" s="743"/>
      <c r="K39" s="150"/>
    </row>
    <row r="40" spans="2:20" ht="38.25" customHeight="1" x14ac:dyDescent="0.2">
      <c r="B40" s="706" t="s">
        <v>2571</v>
      </c>
      <c r="C40" s="706"/>
      <c r="D40" s="306"/>
      <c r="E40" s="306"/>
      <c r="F40" s="306"/>
      <c r="G40" s="306"/>
      <c r="H40" s="306"/>
      <c r="I40" s="306"/>
      <c r="J40" s="306"/>
      <c r="K40" s="150"/>
    </row>
    <row r="41" spans="2:20" ht="47.25" customHeight="1" x14ac:dyDescent="0.2">
      <c r="K41" s="150"/>
    </row>
    <row r="42" spans="2:20" ht="21" customHeight="1" x14ac:dyDescent="0.2">
      <c r="B42" s="712" t="s">
        <v>2572</v>
      </c>
      <c r="C42" s="712"/>
      <c r="D42" s="712"/>
      <c r="E42" s="712"/>
      <c r="F42" s="712"/>
      <c r="G42" s="712"/>
      <c r="H42" s="712"/>
      <c r="I42" s="712"/>
      <c r="J42" s="712"/>
      <c r="K42" s="150"/>
    </row>
    <row r="43" spans="2:20" ht="30" customHeight="1" x14ac:dyDescent="0.2">
      <c r="B43" s="707" t="s">
        <v>2573</v>
      </c>
      <c r="C43" s="707"/>
      <c r="D43" s="707"/>
      <c r="E43" s="707"/>
      <c r="F43" s="707"/>
      <c r="G43" s="707"/>
      <c r="H43" s="707"/>
      <c r="I43" s="707"/>
      <c r="J43" s="707"/>
      <c r="K43" s="150"/>
    </row>
    <row r="44" spans="2:20" ht="28.5" customHeight="1" x14ac:dyDescent="0.2">
      <c r="B44" s="707" t="s">
        <v>2574</v>
      </c>
      <c r="C44" s="707"/>
      <c r="D44" s="707"/>
      <c r="E44" s="707"/>
      <c r="F44" s="707"/>
      <c r="G44" s="707"/>
      <c r="H44" s="707"/>
      <c r="I44" s="707"/>
      <c r="J44" s="707"/>
      <c r="K44" s="150"/>
    </row>
    <row r="45" spans="2:20" ht="29.25" customHeight="1" x14ac:dyDescent="0.2">
      <c r="B45" s="707" t="s">
        <v>2575</v>
      </c>
      <c r="C45" s="707"/>
      <c r="D45" s="707"/>
      <c r="E45" s="707"/>
      <c r="F45" s="707"/>
      <c r="G45" s="707"/>
      <c r="H45" s="707"/>
      <c r="I45" s="707"/>
      <c r="J45" s="707"/>
      <c r="K45" s="150"/>
    </row>
    <row r="46" spans="2:20" ht="52.5" customHeight="1" x14ac:dyDescent="0.2">
      <c r="B46" s="707" t="s">
        <v>2577</v>
      </c>
      <c r="C46" s="707"/>
      <c r="D46" s="707"/>
      <c r="E46" s="707"/>
      <c r="F46" s="707"/>
      <c r="G46" s="707"/>
      <c r="H46" s="707"/>
      <c r="I46" s="707"/>
      <c r="J46" s="707"/>
      <c r="K46" s="150"/>
    </row>
    <row r="47" spans="2:20" ht="27" customHeight="1" x14ac:dyDescent="0.2">
      <c r="B47" s="707" t="s">
        <v>2578</v>
      </c>
      <c r="C47" s="707"/>
      <c r="D47" s="707"/>
      <c r="E47" s="707"/>
      <c r="F47" s="707"/>
      <c r="G47" s="707"/>
      <c r="H47" s="707"/>
      <c r="I47" s="707"/>
      <c r="J47" s="707"/>
      <c r="K47" s="150"/>
    </row>
    <row r="48" spans="2:20" ht="30.75" customHeight="1" x14ac:dyDescent="0.2">
      <c r="B48" s="707" t="s">
        <v>2579</v>
      </c>
      <c r="C48" s="707"/>
      <c r="D48" s="707"/>
      <c r="E48" s="707"/>
      <c r="F48" s="707"/>
      <c r="G48" s="707"/>
      <c r="H48" s="707"/>
      <c r="I48" s="707"/>
      <c r="J48" s="707"/>
      <c r="K48" s="150"/>
    </row>
    <row r="49" spans="2:21" ht="52.5" customHeight="1" x14ac:dyDescent="0.2">
      <c r="B49" s="707" t="s">
        <v>2580</v>
      </c>
      <c r="C49" s="707"/>
      <c r="D49" s="707"/>
      <c r="E49" s="707"/>
      <c r="F49" s="707"/>
      <c r="G49" s="707"/>
      <c r="H49" s="707"/>
      <c r="I49" s="707"/>
      <c r="J49" s="707"/>
      <c r="K49" s="150"/>
    </row>
    <row r="50" spans="2:21" ht="16.2" customHeight="1" x14ac:dyDescent="0.2">
      <c r="B50" s="51"/>
      <c r="C50" s="51"/>
      <c r="D50" s="51"/>
      <c r="E50" s="51"/>
      <c r="F50" s="51"/>
      <c r="G50" s="51"/>
      <c r="H50" s="51"/>
      <c r="I50" s="51"/>
      <c r="J50" s="51"/>
      <c r="K50" s="51"/>
    </row>
    <row r="51" spans="2:21" ht="16.2" customHeight="1" x14ac:dyDescent="0.2">
      <c r="B51" s="708"/>
      <c r="C51" s="708"/>
      <c r="D51" s="708"/>
      <c r="E51" s="708"/>
      <c r="F51" s="708"/>
      <c r="G51" s="708"/>
      <c r="H51" s="708"/>
      <c r="I51" s="708"/>
      <c r="J51" s="708"/>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09" t="s">
        <v>2588</v>
      </c>
      <c r="C64" s="709"/>
      <c r="D64" s="709"/>
      <c r="E64" s="709"/>
      <c r="F64" s="709"/>
      <c r="G64" s="709"/>
      <c r="H64" s="709"/>
      <c r="I64" s="709"/>
      <c r="J64" s="709"/>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11" t="s">
        <v>2485</v>
      </c>
      <c r="J75" s="711"/>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06" t="s">
        <v>2591</v>
      </c>
      <c r="C78" s="706"/>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 ref="B37:J37"/>
    <mergeCell ref="L35:T35"/>
    <mergeCell ref="L36:T36"/>
    <mergeCell ref="L37:T37"/>
    <mergeCell ref="L38:T38"/>
    <mergeCell ref="B35:J35"/>
    <mergeCell ref="B36:J36"/>
    <mergeCell ref="E2:F2"/>
    <mergeCell ref="L4:M4"/>
    <mergeCell ref="L5:M5"/>
    <mergeCell ref="C6:E7"/>
    <mergeCell ref="C4:E4"/>
    <mergeCell ref="G4:J5"/>
    <mergeCell ref="G6:J7"/>
    <mergeCell ref="H9:I9"/>
    <mergeCell ref="H10:I10"/>
    <mergeCell ref="H11:I11"/>
    <mergeCell ref="B14:J15"/>
    <mergeCell ref="C17:E17"/>
    <mergeCell ref="G17:H17"/>
    <mergeCell ref="G25:I25"/>
    <mergeCell ref="G26:I26"/>
    <mergeCell ref="B32:J32"/>
    <mergeCell ref="G27:I27"/>
    <mergeCell ref="L34:T34"/>
    <mergeCell ref="B31:J31"/>
    <mergeCell ref="B34:J34"/>
    <mergeCell ref="B33:J33"/>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30">
        <v>201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33" t="str">
        <f>VLOOKUP($M$1,clientes1,4,FALSE)</f>
        <v>JR. BOLIVAR NRO. 778 OTR. TAYABAMBA LA LIBERTAD - PATAZ - TAYABAMBA</v>
      </c>
      <c r="D6" s="733"/>
      <c r="E6" s="733"/>
      <c r="F6" s="153" t="s">
        <v>2532</v>
      </c>
      <c r="G6" s="237" t="str">
        <f>VLOOKUP($M$1,clientes1,10,FALSE)</f>
        <v>DISTRITO SANTA ROSA, PROVINCIA LIMA - LIMA</v>
      </c>
      <c r="H6" s="237"/>
      <c r="I6" s="237"/>
      <c r="J6" s="237"/>
    </row>
    <row r="7" spans="2:13" ht="16.2" customHeight="1" x14ac:dyDescent="0.2">
      <c r="B7" s="153"/>
      <c r="C7" s="733"/>
      <c r="D7" s="733"/>
      <c r="E7" s="733"/>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982516905</v>
      </c>
      <c r="D10" s="152"/>
      <c r="E10" s="154"/>
      <c r="F10" s="155" t="s">
        <v>2536</v>
      </c>
      <c r="H10" s="725">
        <v>44692</v>
      </c>
      <c r="I10" s="725"/>
      <c r="J10" s="154"/>
    </row>
    <row r="11" spans="2:13" ht="16.2" customHeight="1" x14ac:dyDescent="0.2">
      <c r="B11" s="171" t="s">
        <v>2537</v>
      </c>
      <c r="C11" s="733" t="str">
        <f>VLOOKUP($M$1,clientes1,8,FALSE)</f>
        <v>rolexconstructoressac@gmail.com</v>
      </c>
      <c r="D11" s="733"/>
      <c r="E11" s="733"/>
      <c r="F11" s="155" t="s">
        <v>2538</v>
      </c>
      <c r="H11" s="725">
        <v>44692</v>
      </c>
      <c r="I11" s="725"/>
      <c r="J11" s="154"/>
    </row>
    <row r="12" spans="2:13" ht="8.4" customHeight="1" x14ac:dyDescent="0.2">
      <c r="B12" s="142"/>
      <c r="C12" s="733"/>
      <c r="D12" s="733"/>
      <c r="E12" s="733"/>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24" ht="37.200000000000003" customHeight="1" x14ac:dyDescent="0.25">
      <c r="B17" s="308" t="s">
        <v>2510</v>
      </c>
      <c r="C17" s="727" t="s">
        <v>2593</v>
      </c>
      <c r="D17" s="727"/>
      <c r="E17" s="727"/>
      <c r="F17" s="313" t="s">
        <v>2511</v>
      </c>
      <c r="G17" s="728" t="s">
        <v>2594</v>
      </c>
      <c r="H17" s="729"/>
      <c r="I17" s="308" t="s">
        <v>2513</v>
      </c>
      <c r="J17" s="75" t="s">
        <v>2514</v>
      </c>
      <c r="K17" s="147"/>
    </row>
    <row r="18" spans="2:24" ht="21" customHeight="1" x14ac:dyDescent="0.2">
      <c r="B18" s="160" t="s">
        <v>2171</v>
      </c>
      <c r="C18" s="652" t="str">
        <f>VLOOKUP(B18,SERVICIOENSAYOS,2,FALSE)</f>
        <v>Esclerometría.</v>
      </c>
      <c r="D18" s="652"/>
      <c r="E18" s="652"/>
      <c r="F18" s="161" t="str">
        <f>+VLOOKUP(B18,SERVICIOENSAYOS,3,FALSE)</f>
        <v>NTP 339.181</v>
      </c>
      <c r="G18" s="722" t="str">
        <f>+VLOOKUP(B18,SERVICIOENSAYOS,5,FALSE)</f>
        <v>C 805</v>
      </c>
      <c r="H18" s="723"/>
      <c r="I18" s="161">
        <v>5</v>
      </c>
      <c r="J18" s="162" t="e">
        <f>+G18*I18</f>
        <v>#VALUE!</v>
      </c>
      <c r="K18" s="149"/>
      <c r="L18" s="61" t="s">
        <v>117</v>
      </c>
      <c r="N18" s="61">
        <v>0</v>
      </c>
      <c r="O18" s="61" t="e">
        <v>#VALUE!</v>
      </c>
    </row>
    <row r="19" spans="2:24" ht="21" customHeight="1" x14ac:dyDescent="0.2">
      <c r="B19" s="214" t="s">
        <v>2063</v>
      </c>
      <c r="C19" s="740" t="e">
        <f>VLOOKUP(B19,SERVICIOENSAYOS,2,FALSE)</f>
        <v>#N/A</v>
      </c>
      <c r="D19" s="740"/>
      <c r="E19" s="740"/>
      <c r="F19" s="307" t="e">
        <f>+VLOOKUP(B19,SERVICIOENSAYOS,3,FALSE)</f>
        <v>#N/A</v>
      </c>
      <c r="G19" s="722">
        <v>60</v>
      </c>
      <c r="H19" s="723"/>
      <c r="I19" s="307">
        <v>1</v>
      </c>
      <c r="J19" s="163">
        <f>+G19*I19</f>
        <v>60</v>
      </c>
      <c r="K19" s="149"/>
      <c r="L19" s="61">
        <v>70</v>
      </c>
      <c r="N19" s="61">
        <v>182</v>
      </c>
      <c r="O19" s="61">
        <v>12740</v>
      </c>
    </row>
    <row r="20" spans="2:24" ht="21" customHeight="1" x14ac:dyDescent="0.2">
      <c r="B20" s="214"/>
      <c r="C20" s="740"/>
      <c r="D20" s="740"/>
      <c r="E20" s="740"/>
      <c r="F20" s="307"/>
      <c r="G20" s="722"/>
      <c r="H20" s="723"/>
      <c r="I20" s="307"/>
      <c r="J20" s="215"/>
      <c r="K20" s="149"/>
      <c r="L20" s="61">
        <v>25</v>
      </c>
      <c r="N20" s="61">
        <v>182</v>
      </c>
      <c r="O20" s="61">
        <v>4550</v>
      </c>
    </row>
    <row r="21" spans="2:24" ht="21" customHeight="1" x14ac:dyDescent="0.2">
      <c r="B21" s="214"/>
      <c r="C21" s="740"/>
      <c r="D21" s="740"/>
      <c r="E21" s="740"/>
      <c r="F21" s="307"/>
      <c r="G21" s="722"/>
      <c r="H21" s="723"/>
      <c r="I21" s="307"/>
      <c r="J21" s="215"/>
      <c r="K21" s="149"/>
      <c r="L21" s="61">
        <v>60</v>
      </c>
      <c r="N21" s="61">
        <v>182</v>
      </c>
      <c r="O21" s="61">
        <v>10920</v>
      </c>
    </row>
    <row r="22" spans="2:24" ht="21" customHeight="1" x14ac:dyDescent="0.2">
      <c r="B22" s="214"/>
      <c r="C22" s="740"/>
      <c r="D22" s="740"/>
      <c r="E22" s="740"/>
      <c r="F22" s="307"/>
      <c r="G22" s="722"/>
      <c r="H22" s="723"/>
      <c r="I22" s="307"/>
      <c r="J22" s="215"/>
      <c r="K22" s="149"/>
      <c r="L22" s="61">
        <v>150</v>
      </c>
      <c r="N22" s="61">
        <v>182</v>
      </c>
      <c r="O22" s="61">
        <v>27300</v>
      </c>
    </row>
    <row r="23" spans="2:24" ht="21" customHeight="1" x14ac:dyDescent="0.2">
      <c r="B23" s="214"/>
      <c r="C23" s="740"/>
      <c r="D23" s="740"/>
      <c r="E23" s="740"/>
      <c r="F23" s="307"/>
      <c r="G23" s="722"/>
      <c r="H23" s="723"/>
      <c r="I23" s="307"/>
      <c r="J23" s="215"/>
      <c r="K23" s="149"/>
      <c r="L23" s="61">
        <v>20</v>
      </c>
      <c r="N23" s="61">
        <v>182</v>
      </c>
      <c r="O23" s="61">
        <v>3640</v>
      </c>
    </row>
    <row r="24" spans="2:24" ht="20.25" customHeight="1" x14ac:dyDescent="0.2">
      <c r="B24" s="214"/>
      <c r="C24" s="740"/>
      <c r="D24" s="740"/>
      <c r="E24" s="740"/>
      <c r="F24" s="307"/>
      <c r="G24" s="722"/>
      <c r="H24" s="723"/>
      <c r="I24" s="307"/>
      <c r="J24" s="215"/>
      <c r="K24" s="149"/>
      <c r="L24" s="61">
        <v>120</v>
      </c>
      <c r="N24" s="61">
        <v>182</v>
      </c>
      <c r="O24" s="61">
        <v>21840</v>
      </c>
    </row>
    <row r="25" spans="2:24" ht="25.5" customHeight="1" x14ac:dyDescent="0.2">
      <c r="B25" s="176" t="s">
        <v>2063</v>
      </c>
      <c r="C25" s="737" t="e">
        <f>VLOOKUP(B25,SERVICIOENSAYOS,2,FALSE)</f>
        <v>#N/A</v>
      </c>
      <c r="D25" s="737"/>
      <c r="E25" s="737"/>
      <c r="F25" s="177" t="e">
        <f>+VLOOKUP(B25,SERVICIOENSAYOS,3,FALSE)</f>
        <v>#N/A</v>
      </c>
      <c r="G25" s="717">
        <v>60</v>
      </c>
      <c r="H25" s="718"/>
      <c r="I25" s="177">
        <v>0</v>
      </c>
      <c r="J25" s="216">
        <f>+G25*I25</f>
        <v>0</v>
      </c>
      <c r="K25" s="149"/>
      <c r="L25" s="61">
        <v>250</v>
      </c>
      <c r="N25" s="61">
        <v>182</v>
      </c>
      <c r="O25" s="61">
        <v>45500</v>
      </c>
    </row>
    <row r="26" spans="2:24" ht="20.25" customHeight="1" x14ac:dyDescent="0.2">
      <c r="B26" s="160"/>
      <c r="C26" s="744"/>
      <c r="D26" s="744"/>
      <c r="E26" s="744"/>
      <c r="F26" s="161"/>
      <c r="G26" s="722"/>
      <c r="H26" s="723"/>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22"/>
      <c r="H27" s="723"/>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22"/>
      <c r="H28" s="723"/>
      <c r="I28" s="161"/>
      <c r="J28" s="210"/>
      <c r="K28" s="149"/>
      <c r="V28" s="131"/>
    </row>
    <row r="29" spans="2:24" ht="16.5" customHeight="1" x14ac:dyDescent="0.25">
      <c r="B29" s="209" t="s">
        <v>2542</v>
      </c>
      <c r="C29" s="55"/>
      <c r="D29" s="53"/>
      <c r="E29" s="53"/>
      <c r="F29" s="53"/>
      <c r="G29" s="719" t="s">
        <v>2515</v>
      </c>
      <c r="H29" s="719"/>
      <c r="I29" s="719"/>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19" t="s">
        <v>2516</v>
      </c>
      <c r="H30" s="719"/>
      <c r="I30" s="719"/>
      <c r="J30" s="163" t="e">
        <f>+J29*0.18</f>
        <v>#VALUE!</v>
      </c>
      <c r="K30" s="52"/>
    </row>
    <row r="31" spans="2:24" ht="16.95" customHeight="1" x14ac:dyDescent="0.25">
      <c r="B31" s="212"/>
      <c r="C31" s="55"/>
      <c r="D31" s="53"/>
      <c r="E31" s="53"/>
      <c r="F31" s="53"/>
      <c r="G31" s="720" t="s">
        <v>2543</v>
      </c>
      <c r="H31" s="720"/>
      <c r="I31" s="720"/>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12" t="s">
        <v>2544</v>
      </c>
      <c r="C35" s="712"/>
      <c r="D35" s="712"/>
      <c r="E35" s="712"/>
      <c r="F35" s="712"/>
      <c r="G35" s="712"/>
      <c r="H35" s="712"/>
      <c r="I35" s="712"/>
      <c r="J35" s="712"/>
      <c r="K35" s="181" t="s">
        <v>2545</v>
      </c>
      <c r="M35" s="54"/>
      <c r="V35" s="61" t="s">
        <v>2627</v>
      </c>
      <c r="W35" s="61">
        <f>+W31+W34</f>
        <v>10</v>
      </c>
      <c r="X35" s="61">
        <f>8*3+30</f>
        <v>54</v>
      </c>
      <c r="Y35" s="61">
        <v>15</v>
      </c>
      <c r="Z35" s="61">
        <f>+X35*Y35*W35</f>
        <v>8100</v>
      </c>
    </row>
    <row r="36" spans="2:26" ht="15" customHeight="1" x14ac:dyDescent="0.2">
      <c r="B36" s="712" t="s">
        <v>2596</v>
      </c>
      <c r="C36" s="712"/>
      <c r="D36" s="712"/>
      <c r="E36" s="712"/>
      <c r="F36" s="712"/>
      <c r="G36" s="712"/>
      <c r="H36" s="712"/>
      <c r="I36" s="712"/>
      <c r="J36" s="712"/>
      <c r="K36" s="182" t="s">
        <v>2545</v>
      </c>
      <c r="V36" s="61" t="s">
        <v>2628</v>
      </c>
      <c r="W36" s="61">
        <v>2</v>
      </c>
      <c r="X36" s="61">
        <v>100</v>
      </c>
      <c r="Y36" s="61">
        <v>15</v>
      </c>
      <c r="Z36" s="61">
        <f>+X36*Y36*W36</f>
        <v>3000</v>
      </c>
    </row>
    <row r="37" spans="2:26" ht="32.25" customHeight="1" x14ac:dyDescent="0.2">
      <c r="B37" s="707" t="s">
        <v>2629</v>
      </c>
      <c r="C37" s="707"/>
      <c r="D37" s="707"/>
      <c r="E37" s="707"/>
      <c r="F37" s="707"/>
      <c r="G37" s="707"/>
      <c r="H37" s="707"/>
      <c r="I37" s="707"/>
      <c r="J37" s="707"/>
      <c r="K37" s="182" t="s">
        <v>2545</v>
      </c>
    </row>
    <row r="38" spans="2:26" ht="42" hidden="1" customHeight="1" x14ac:dyDescent="0.2">
      <c r="B38" s="715" t="s">
        <v>2630</v>
      </c>
      <c r="C38" s="715"/>
      <c r="D38" s="715"/>
      <c r="E38" s="715"/>
      <c r="F38" s="715"/>
      <c r="G38" s="715"/>
      <c r="H38" s="715"/>
      <c r="I38" s="715"/>
      <c r="J38" s="715"/>
      <c r="K38" s="182" t="s">
        <v>2545</v>
      </c>
      <c r="V38" s="61" t="s">
        <v>2631</v>
      </c>
      <c r="W38" s="61">
        <v>1</v>
      </c>
      <c r="X38" s="61">
        <v>1000</v>
      </c>
      <c r="Y38" s="61">
        <v>1</v>
      </c>
      <c r="Z38" s="61">
        <f>+X38*Y38*W38</f>
        <v>1000</v>
      </c>
    </row>
    <row r="39" spans="2:26" ht="30.75" hidden="1" customHeight="1" x14ac:dyDescent="0.2">
      <c r="B39" s="715" t="s">
        <v>2632</v>
      </c>
      <c r="C39" s="715"/>
      <c r="D39" s="715"/>
      <c r="E39" s="715"/>
      <c r="F39" s="715"/>
      <c r="G39" s="715"/>
      <c r="H39" s="715"/>
      <c r="I39" s="715"/>
      <c r="J39" s="715"/>
      <c r="K39" s="182"/>
    </row>
    <row r="40" spans="2:26" ht="59.25" hidden="1" customHeight="1" x14ac:dyDescent="0.2">
      <c r="B40" s="715" t="s">
        <v>2559</v>
      </c>
      <c r="C40" s="715"/>
      <c r="D40" s="715"/>
      <c r="E40" s="715"/>
      <c r="F40" s="715"/>
      <c r="G40" s="715"/>
      <c r="H40" s="715"/>
      <c r="I40" s="715"/>
      <c r="J40" s="715"/>
      <c r="K40" s="182"/>
    </row>
    <row r="41" spans="2:26" ht="24.75" hidden="1" customHeight="1" x14ac:dyDescent="0.2">
      <c r="B41" s="715" t="s">
        <v>2633</v>
      </c>
      <c r="C41" s="715"/>
      <c r="D41" s="715"/>
      <c r="E41" s="715"/>
      <c r="F41" s="715"/>
      <c r="G41" s="715"/>
      <c r="H41" s="715"/>
      <c r="I41" s="715"/>
      <c r="J41" s="715"/>
      <c r="K41" s="182"/>
    </row>
    <row r="42" spans="2:26" ht="69" hidden="1" customHeight="1" x14ac:dyDescent="0.2">
      <c r="B42" s="707" t="s">
        <v>2561</v>
      </c>
      <c r="C42" s="707"/>
      <c r="D42" s="707"/>
      <c r="E42" s="707"/>
      <c r="F42" s="707"/>
      <c r="G42" s="707"/>
      <c r="H42" s="707"/>
      <c r="I42" s="707"/>
      <c r="J42" s="707"/>
      <c r="K42" s="182"/>
    </row>
    <row r="43" spans="2:26" ht="28.5" hidden="1" customHeight="1" x14ac:dyDescent="0.2">
      <c r="B43" s="715" t="s">
        <v>2634</v>
      </c>
      <c r="C43" s="715"/>
      <c r="D43" s="715"/>
      <c r="E43" s="715"/>
      <c r="F43" s="715"/>
      <c r="G43" s="715"/>
      <c r="H43" s="715"/>
      <c r="I43" s="715"/>
      <c r="J43" s="715"/>
      <c r="K43" s="182"/>
    </row>
    <row r="44" spans="2:26" ht="12.75" hidden="1" customHeight="1" x14ac:dyDescent="0.2">
      <c r="B44" s="715" t="s">
        <v>2569</v>
      </c>
      <c r="C44" s="712"/>
      <c r="D44" s="712"/>
      <c r="E44" s="712"/>
      <c r="F44" s="712"/>
      <c r="G44" s="712"/>
      <c r="H44" s="712"/>
      <c r="I44" s="712"/>
      <c r="J44" s="712"/>
      <c r="K44" s="182" t="s">
        <v>2545</v>
      </c>
      <c r="V44" s="61" t="s">
        <v>2635</v>
      </c>
      <c r="W44" s="61">
        <v>1</v>
      </c>
      <c r="X44" s="61">
        <v>80</v>
      </c>
      <c r="Y44" s="61">
        <v>15</v>
      </c>
      <c r="Z44" s="61">
        <f>+X44*Y44*W44</f>
        <v>1200</v>
      </c>
    </row>
    <row r="45" spans="2:26" s="51" customFormat="1" ht="25.5" hidden="1" customHeight="1" x14ac:dyDescent="0.3">
      <c r="B45" s="715" t="s">
        <v>2636</v>
      </c>
      <c r="C45" s="715"/>
      <c r="D45" s="715"/>
      <c r="E45" s="715"/>
      <c r="F45" s="715"/>
      <c r="G45" s="715"/>
      <c r="H45" s="715"/>
      <c r="I45" s="715"/>
      <c r="J45" s="715"/>
      <c r="K45" s="182"/>
    </row>
    <row r="46" spans="2:26" s="51" customFormat="1" ht="27" hidden="1" customHeight="1" x14ac:dyDescent="0.3">
      <c r="B46" s="715" t="s">
        <v>2637</v>
      </c>
      <c r="C46" s="715"/>
      <c r="D46" s="715"/>
      <c r="E46" s="715"/>
      <c r="F46" s="715"/>
      <c r="G46" s="715"/>
      <c r="H46" s="715"/>
      <c r="I46" s="715"/>
      <c r="J46" s="715"/>
      <c r="K46" s="182"/>
    </row>
    <row r="47" spans="2:26" s="51" customFormat="1" ht="18" hidden="1" customHeight="1" x14ac:dyDescent="0.3">
      <c r="B47" s="712" t="s">
        <v>2638</v>
      </c>
      <c r="C47" s="712"/>
      <c r="D47" s="712"/>
      <c r="E47" s="712"/>
      <c r="F47" s="712"/>
      <c r="G47" s="712"/>
      <c r="H47" s="712"/>
      <c r="I47" s="712"/>
      <c r="J47" s="712"/>
      <c r="K47" s="182"/>
    </row>
    <row r="48" spans="2:26" ht="65.25" customHeight="1" x14ac:dyDescent="0.2">
      <c r="B48" s="706" t="s">
        <v>2571</v>
      </c>
      <c r="C48" s="706"/>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12" t="s">
        <v>2572</v>
      </c>
      <c r="C50" s="712"/>
      <c r="D50" s="712"/>
      <c r="E50" s="712"/>
      <c r="F50" s="712"/>
      <c r="G50" s="712"/>
      <c r="H50" s="712"/>
      <c r="I50" s="712"/>
      <c r="J50" s="712"/>
      <c r="K50" s="182"/>
    </row>
    <row r="51" spans="2:21" ht="32.4" customHeight="1" x14ac:dyDescent="0.2">
      <c r="B51" s="707" t="s">
        <v>2573</v>
      </c>
      <c r="C51" s="707"/>
      <c r="D51" s="707"/>
      <c r="E51" s="707"/>
      <c r="F51" s="707"/>
      <c r="G51" s="707"/>
      <c r="H51" s="707"/>
      <c r="I51" s="707"/>
      <c r="J51" s="707"/>
      <c r="K51" s="182"/>
    </row>
    <row r="52" spans="2:21" ht="32.4" customHeight="1" x14ac:dyDescent="0.2">
      <c r="B52" s="707" t="s">
        <v>2574</v>
      </c>
      <c r="C52" s="707"/>
      <c r="D52" s="707"/>
      <c r="E52" s="707"/>
      <c r="F52" s="707"/>
      <c r="G52" s="707"/>
      <c r="H52" s="707"/>
      <c r="I52" s="707"/>
      <c r="J52" s="707"/>
      <c r="K52" s="182"/>
    </row>
    <row r="53" spans="2:21" ht="32.4" customHeight="1" x14ac:dyDescent="0.2">
      <c r="B53" s="707" t="s">
        <v>2575</v>
      </c>
      <c r="C53" s="707"/>
      <c r="D53" s="707"/>
      <c r="E53" s="707"/>
      <c r="F53" s="707"/>
      <c r="G53" s="707"/>
      <c r="H53" s="707"/>
      <c r="I53" s="707"/>
      <c r="J53" s="707"/>
      <c r="K53" s="182"/>
    </row>
    <row r="54" spans="2:21" ht="57" hidden="1" customHeight="1" x14ac:dyDescent="0.2">
      <c r="B54" s="707" t="s">
        <v>2576</v>
      </c>
      <c r="C54" s="707"/>
      <c r="D54" s="707"/>
      <c r="E54" s="707"/>
      <c r="F54" s="707"/>
      <c r="G54" s="707"/>
      <c r="H54" s="707"/>
      <c r="I54" s="707"/>
      <c r="J54" s="707"/>
      <c r="K54" s="182"/>
      <c r="L54" s="90"/>
    </row>
    <row r="55" spans="2:21" ht="45.75" customHeight="1" x14ac:dyDescent="0.2">
      <c r="B55" s="707" t="s">
        <v>2577</v>
      </c>
      <c r="C55" s="707"/>
      <c r="D55" s="707"/>
      <c r="E55" s="707"/>
      <c r="F55" s="707"/>
      <c r="G55" s="707"/>
      <c r="H55" s="707"/>
      <c r="I55" s="707"/>
      <c r="J55" s="707"/>
      <c r="K55" s="182"/>
      <c r="L55" s="90"/>
      <c r="M55" s="82"/>
      <c r="N55" s="83"/>
    </row>
    <row r="56" spans="2:21" ht="30" customHeight="1" x14ac:dyDescent="0.2">
      <c r="B56" s="707" t="s">
        <v>2578</v>
      </c>
      <c r="C56" s="707"/>
      <c r="D56" s="707"/>
      <c r="E56" s="707"/>
      <c r="F56" s="707"/>
      <c r="G56" s="707"/>
      <c r="H56" s="707"/>
      <c r="I56" s="707"/>
      <c r="J56" s="707"/>
      <c r="K56" s="182"/>
      <c r="L56" s="90"/>
      <c r="M56" s="82"/>
      <c r="N56" s="83"/>
    </row>
    <row r="57" spans="2:21" ht="31.5" customHeight="1" x14ac:dyDescent="0.2">
      <c r="B57" s="707" t="s">
        <v>2579</v>
      </c>
      <c r="C57" s="707"/>
      <c r="D57" s="707"/>
      <c r="E57" s="707"/>
      <c r="F57" s="707"/>
      <c r="G57" s="707"/>
      <c r="H57" s="707"/>
      <c r="I57" s="707"/>
      <c r="J57" s="707"/>
      <c r="K57" s="182"/>
      <c r="L57" s="90"/>
      <c r="M57" s="82"/>
      <c r="N57" s="83"/>
    </row>
    <row r="58" spans="2:21" ht="42.75" customHeight="1" x14ac:dyDescent="0.2">
      <c r="B58" s="707" t="s">
        <v>2580</v>
      </c>
      <c r="C58" s="707"/>
      <c r="D58" s="707"/>
      <c r="E58" s="707"/>
      <c r="F58" s="707"/>
      <c r="G58" s="707"/>
      <c r="H58" s="707"/>
      <c r="I58" s="707"/>
      <c r="J58" s="707"/>
      <c r="K58" s="182"/>
      <c r="L58" s="90"/>
      <c r="M58" s="82"/>
      <c r="N58" s="83"/>
    </row>
    <row r="59" spans="2:21" ht="32.4" customHeight="1" x14ac:dyDescent="0.2">
      <c r="B59" s="707"/>
      <c r="C59" s="707"/>
      <c r="D59" s="707"/>
      <c r="E59" s="707"/>
      <c r="F59" s="707"/>
      <c r="G59" s="707"/>
      <c r="H59" s="707"/>
      <c r="I59" s="707"/>
      <c r="J59" s="707"/>
      <c r="K59" s="182"/>
      <c r="M59" s="82"/>
      <c r="N59" s="83"/>
    </row>
    <row r="60" spans="2:21" ht="56.4" customHeight="1" x14ac:dyDescent="0.2">
      <c r="B60" s="707"/>
      <c r="C60" s="707"/>
      <c r="D60" s="707"/>
      <c r="E60" s="707"/>
      <c r="F60" s="707"/>
      <c r="G60" s="707"/>
      <c r="H60" s="707"/>
      <c r="I60" s="707"/>
      <c r="J60" s="707"/>
      <c r="K60" s="182"/>
      <c r="M60" s="82"/>
      <c r="N60" s="83"/>
    </row>
    <row r="61" spans="2:21" ht="16.2" customHeight="1" x14ac:dyDescent="0.2">
      <c r="B61" s="51"/>
      <c r="C61" s="51"/>
      <c r="D61" s="51"/>
      <c r="E61" s="51"/>
      <c r="F61" s="51"/>
      <c r="G61" s="51"/>
      <c r="H61" s="51"/>
      <c r="I61" s="51"/>
      <c r="J61" s="51"/>
      <c r="K61" s="51"/>
    </row>
    <row r="62" spans="2:21" ht="16.2" customHeight="1" x14ac:dyDescent="0.2">
      <c r="B62" s="708"/>
      <c r="C62" s="708"/>
      <c r="D62" s="708"/>
      <c r="E62" s="708"/>
      <c r="F62" s="708"/>
      <c r="G62" s="708"/>
      <c r="H62" s="708"/>
      <c r="I62" s="708"/>
      <c r="J62" s="708"/>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09" t="s">
        <v>2588</v>
      </c>
      <c r="C75" s="709"/>
      <c r="D75" s="709"/>
      <c r="E75" s="709"/>
      <c r="F75" s="709"/>
      <c r="G75" s="709"/>
      <c r="H75" s="709"/>
      <c r="I75" s="709"/>
      <c r="J75" s="709"/>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10"/>
      <c r="C86" s="710"/>
      <c r="I86" s="711" t="s">
        <v>2485</v>
      </c>
      <c r="J86" s="711"/>
      <c r="M86" s="67"/>
      <c r="N86" s="67"/>
    </row>
    <row r="87" spans="2:14" ht="7.5" customHeight="1" x14ac:dyDescent="0.2">
      <c r="B87" s="304"/>
      <c r="C87" s="304"/>
      <c r="I87" s="305"/>
      <c r="J87" s="305"/>
      <c r="M87" s="67"/>
      <c r="N87" s="67"/>
    </row>
    <row r="88" spans="2:14" ht="36" customHeight="1" x14ac:dyDescent="0.2">
      <c r="B88" s="706" t="s">
        <v>2591</v>
      </c>
      <c r="C88" s="706"/>
    </row>
    <row r="89" spans="2:14" ht="57.75" customHeight="1" x14ac:dyDescent="0.2"/>
  </sheetData>
  <mergeCells count="66">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 ref="B52:J52"/>
    <mergeCell ref="B37:J37"/>
    <mergeCell ref="B38:J38"/>
    <mergeCell ref="B39:J39"/>
    <mergeCell ref="B40:J40"/>
    <mergeCell ref="B88:C88"/>
    <mergeCell ref="B59:J59"/>
    <mergeCell ref="B60:J60"/>
    <mergeCell ref="B62:J62"/>
    <mergeCell ref="B75:J75"/>
    <mergeCell ref="B86:C86"/>
    <mergeCell ref="I86:J86"/>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L4:M4"/>
    <mergeCell ref="L5:M5"/>
    <mergeCell ref="C6:E7"/>
    <mergeCell ref="H9:I9"/>
    <mergeCell ref="C17:E17"/>
    <mergeCell ref="G17:H17"/>
    <mergeCell ref="C18:E18"/>
    <mergeCell ref="G18:H18"/>
    <mergeCell ref="C19:E19"/>
    <mergeCell ref="G19:H19"/>
    <mergeCell ref="C27:E27"/>
    <mergeCell ref="C24:E24"/>
    <mergeCell ref="G20:H20"/>
    <mergeCell ref="C21:E21"/>
    <mergeCell ref="G21:H21"/>
    <mergeCell ref="C22:E22"/>
    <mergeCell ref="G22:H22"/>
    <mergeCell ref="C20:E20"/>
    <mergeCell ref="E2:F2"/>
    <mergeCell ref="H10:I10"/>
    <mergeCell ref="H11:I11"/>
    <mergeCell ref="B14:J15"/>
    <mergeCell ref="C11:E12"/>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33" t="str">
        <f>VLOOKUP($M$1,clientes1,4,FALSE)</f>
        <v>-</v>
      </c>
      <c r="D6" s="733"/>
      <c r="E6" s="733"/>
      <c r="F6" s="153" t="s">
        <v>2532</v>
      </c>
      <c r="G6" s="747">
        <f>VLOOKUP($M$1,clientes1,10,FALSE)</f>
        <v>0</v>
      </c>
      <c r="H6" s="747"/>
      <c r="I6" s="747"/>
      <c r="J6" s="747"/>
    </row>
    <row r="7" spans="2:13" ht="16.2" customHeight="1" x14ac:dyDescent="0.2">
      <c r="B7" s="153"/>
      <c r="C7" s="733"/>
      <c r="D7" s="733"/>
      <c r="E7" s="733"/>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995019070</v>
      </c>
      <c r="D10" s="152"/>
      <c r="E10" s="154"/>
      <c r="F10" s="155" t="s">
        <v>2536</v>
      </c>
      <c r="H10" s="725">
        <v>44337</v>
      </c>
      <c r="I10" s="725"/>
      <c r="J10" s="154"/>
    </row>
    <row r="11" spans="2:13" ht="16.2" customHeight="1" x14ac:dyDescent="0.2">
      <c r="B11" s="171" t="s">
        <v>2537</v>
      </c>
      <c r="C11" s="66" t="str">
        <f>VLOOKUP($M$1,clientes1,8,FALSE)</f>
        <v>aviles_alvarez@hotmail.com</v>
      </c>
      <c r="D11" s="152"/>
      <c r="E11" s="170"/>
      <c r="F11" s="155" t="s">
        <v>2538</v>
      </c>
      <c r="H11" s="725">
        <v>44337</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19.95" customHeight="1" x14ac:dyDescent="0.2">
      <c r="B18" s="160" t="s">
        <v>1990</v>
      </c>
      <c r="C18" s="721" t="e">
        <f t="shared" ref="C18:C31" si="0">VLOOKUP(B18,SERVICIOENSAYOS,2,FALSE)</f>
        <v>#N/A</v>
      </c>
      <c r="D18" s="721"/>
      <c r="E18" s="721"/>
      <c r="F18" s="161" t="e">
        <f t="shared" ref="F18:F29" si="1">+VLOOKUP(B18,SERVICIOENSAYOS,3,FALSE)</f>
        <v>#N/A</v>
      </c>
      <c r="G18" s="722" t="e">
        <f t="shared" ref="G18:G31" si="2">+VLOOKUP(B18,SERVICIOENSAYOS,5,FALSE)</f>
        <v>#N/A</v>
      </c>
      <c r="H18" s="723"/>
      <c r="I18" s="161">
        <f>35+22</f>
        <v>57</v>
      </c>
      <c r="J18" s="162" t="e">
        <f t="shared" ref="J18:J32" si="3">+G18*I18</f>
        <v>#N/A</v>
      </c>
      <c r="K18" s="148"/>
      <c r="L18" s="134"/>
    </row>
    <row r="19" spans="2:12" ht="19.95" customHeight="1" x14ac:dyDescent="0.2">
      <c r="B19" s="160" t="s">
        <v>2020</v>
      </c>
      <c r="C19" s="656" t="e">
        <f t="shared" si="0"/>
        <v>#N/A</v>
      </c>
      <c r="D19" s="657"/>
      <c r="E19" s="658"/>
      <c r="F19" s="161" t="e">
        <f t="shared" si="1"/>
        <v>#N/A</v>
      </c>
      <c r="G19" s="722" t="e">
        <f t="shared" si="2"/>
        <v>#N/A</v>
      </c>
      <c r="H19" s="723"/>
      <c r="I19" s="161">
        <f>35+30</f>
        <v>65</v>
      </c>
      <c r="J19" s="162" t="e">
        <f t="shared" si="3"/>
        <v>#N/A</v>
      </c>
      <c r="K19" s="149"/>
    </row>
    <row r="20" spans="2:12" ht="19.95" customHeight="1" x14ac:dyDescent="0.2">
      <c r="B20" s="160" t="s">
        <v>2023</v>
      </c>
      <c r="C20" s="652" t="e">
        <f t="shared" si="0"/>
        <v>#N/A</v>
      </c>
      <c r="D20" s="652"/>
      <c r="E20" s="652"/>
      <c r="F20" s="161" t="e">
        <f t="shared" si="1"/>
        <v>#N/A</v>
      </c>
      <c r="G20" s="722" t="e">
        <f t="shared" si="2"/>
        <v>#N/A</v>
      </c>
      <c r="H20" s="723"/>
      <c r="I20" s="161">
        <f>35+30</f>
        <v>65</v>
      </c>
      <c r="J20" s="162" t="e">
        <f t="shared" si="3"/>
        <v>#N/A</v>
      </c>
      <c r="K20" s="149"/>
    </row>
    <row r="21" spans="2:12" ht="19.95" customHeight="1" x14ac:dyDescent="0.2">
      <c r="B21" s="160" t="s">
        <v>1973</v>
      </c>
      <c r="C21" s="652" t="e">
        <f t="shared" si="0"/>
        <v>#N/A</v>
      </c>
      <c r="D21" s="652"/>
      <c r="E21" s="652"/>
      <c r="F21" s="161" t="e">
        <f t="shared" si="1"/>
        <v>#N/A</v>
      </c>
      <c r="G21" s="722" t="e">
        <f t="shared" si="2"/>
        <v>#N/A</v>
      </c>
      <c r="H21" s="723"/>
      <c r="I21" s="161">
        <v>22</v>
      </c>
      <c r="J21" s="162" t="e">
        <f t="shared" si="3"/>
        <v>#N/A</v>
      </c>
      <c r="K21" s="149"/>
    </row>
    <row r="22" spans="2:12" ht="19.95" customHeight="1" x14ac:dyDescent="0.2">
      <c r="B22" s="160" t="s">
        <v>1969</v>
      </c>
      <c r="C22" s="652" t="e">
        <f t="shared" si="0"/>
        <v>#N/A</v>
      </c>
      <c r="D22" s="652"/>
      <c r="E22" s="652"/>
      <c r="F22" s="161" t="e">
        <f t="shared" si="1"/>
        <v>#N/A</v>
      </c>
      <c r="G22" s="722" t="e">
        <f t="shared" si="2"/>
        <v>#N/A</v>
      </c>
      <c r="H22" s="723"/>
      <c r="I22" s="161">
        <v>22</v>
      </c>
      <c r="J22" s="162" t="e">
        <f>+G22*I22</f>
        <v>#N/A</v>
      </c>
      <c r="K22" s="149"/>
    </row>
    <row r="23" spans="2:12" ht="19.95" customHeight="1" x14ac:dyDescent="0.2">
      <c r="B23" s="160" t="s">
        <v>1994</v>
      </c>
      <c r="C23" s="652" t="e">
        <f t="shared" si="0"/>
        <v>#N/A</v>
      </c>
      <c r="D23" s="652"/>
      <c r="E23" s="652"/>
      <c r="F23" s="161" t="e">
        <f t="shared" si="1"/>
        <v>#N/A</v>
      </c>
      <c r="G23" s="722" t="e">
        <f t="shared" si="2"/>
        <v>#N/A</v>
      </c>
      <c r="H23" s="723"/>
      <c r="I23" s="161">
        <v>50</v>
      </c>
      <c r="J23" s="162" t="e">
        <f>+G23*I23</f>
        <v>#N/A</v>
      </c>
      <c r="K23" s="149"/>
    </row>
    <row r="24" spans="2:12" ht="19.95" customHeight="1" x14ac:dyDescent="0.2">
      <c r="B24" s="160" t="s">
        <v>1997</v>
      </c>
      <c r="C24" s="652" t="e">
        <f t="shared" si="0"/>
        <v>#N/A</v>
      </c>
      <c r="D24" s="652"/>
      <c r="E24" s="652"/>
      <c r="F24" s="161" t="e">
        <f t="shared" si="1"/>
        <v>#N/A</v>
      </c>
      <c r="G24" s="722" t="e">
        <f t="shared" si="2"/>
        <v>#N/A</v>
      </c>
      <c r="H24" s="723"/>
      <c r="I24" s="161">
        <v>50</v>
      </c>
      <c r="J24" s="162" t="e">
        <f>+G24*I24</f>
        <v>#N/A</v>
      </c>
      <c r="K24" s="149"/>
    </row>
    <row r="25" spans="2:12" ht="19.95" customHeight="1" x14ac:dyDescent="0.2">
      <c r="B25" s="160" t="s">
        <v>2000</v>
      </c>
      <c r="C25" s="652" t="e">
        <f t="shared" si="0"/>
        <v>#N/A</v>
      </c>
      <c r="D25" s="652"/>
      <c r="E25" s="652"/>
      <c r="F25" s="161" t="e">
        <f t="shared" si="1"/>
        <v>#N/A</v>
      </c>
      <c r="G25" s="722" t="e">
        <f t="shared" si="2"/>
        <v>#N/A</v>
      </c>
      <c r="H25" s="723"/>
      <c r="I25" s="161">
        <v>50</v>
      </c>
      <c r="J25" s="162" t="e">
        <f>+G25*I25</f>
        <v>#N/A</v>
      </c>
      <c r="K25" s="149"/>
    </row>
    <row r="26" spans="2:12" ht="19.95" customHeight="1" x14ac:dyDescent="0.2">
      <c r="B26" s="160" t="s">
        <v>1962</v>
      </c>
      <c r="C26" s="652" t="e">
        <f t="shared" si="0"/>
        <v>#N/A</v>
      </c>
      <c r="D26" s="652"/>
      <c r="E26" s="652"/>
      <c r="F26" s="161" t="e">
        <f t="shared" si="1"/>
        <v>#N/A</v>
      </c>
      <c r="G26" s="722" t="e">
        <f t="shared" si="2"/>
        <v>#N/A</v>
      </c>
      <c r="H26" s="723"/>
      <c r="I26" s="161">
        <v>50</v>
      </c>
      <c r="J26" s="162" t="e">
        <f t="shared" si="3"/>
        <v>#N/A</v>
      </c>
      <c r="K26" s="149"/>
    </row>
    <row r="27" spans="2:12" ht="19.95" customHeight="1" x14ac:dyDescent="0.2">
      <c r="B27" s="160" t="s">
        <v>2027</v>
      </c>
      <c r="C27" s="652" t="e">
        <f t="shared" si="0"/>
        <v>#N/A</v>
      </c>
      <c r="D27" s="652"/>
      <c r="E27" s="652"/>
      <c r="F27" s="161" t="e">
        <f t="shared" si="1"/>
        <v>#N/A</v>
      </c>
      <c r="G27" s="722" t="e">
        <f t="shared" si="2"/>
        <v>#N/A</v>
      </c>
      <c r="H27" s="723"/>
      <c r="I27" s="161">
        <v>15</v>
      </c>
      <c r="J27" s="162" t="e">
        <f t="shared" si="3"/>
        <v>#N/A</v>
      </c>
      <c r="K27" s="149"/>
    </row>
    <row r="28" spans="2:12" ht="19.95" customHeight="1" x14ac:dyDescent="0.2">
      <c r="B28" s="160" t="s">
        <v>2049</v>
      </c>
      <c r="C28" s="652" t="e">
        <f t="shared" si="0"/>
        <v>#N/A</v>
      </c>
      <c r="D28" s="652"/>
      <c r="E28" s="652"/>
      <c r="F28" s="161" t="e">
        <f t="shared" si="1"/>
        <v>#N/A</v>
      </c>
      <c r="G28" s="722" t="e">
        <f t="shared" si="2"/>
        <v>#N/A</v>
      </c>
      <c r="H28" s="723"/>
      <c r="I28" s="161">
        <v>15</v>
      </c>
      <c r="J28" s="162" t="e">
        <f t="shared" si="3"/>
        <v>#N/A</v>
      </c>
      <c r="K28" s="149"/>
    </row>
    <row r="29" spans="2:12" ht="19.95" customHeight="1" x14ac:dyDescent="0.2">
      <c r="B29" s="160" t="s">
        <v>2054</v>
      </c>
      <c r="C29" s="652" t="e">
        <f t="shared" si="0"/>
        <v>#N/A</v>
      </c>
      <c r="D29" s="652"/>
      <c r="E29" s="652"/>
      <c r="F29" s="161" t="e">
        <f t="shared" si="1"/>
        <v>#N/A</v>
      </c>
      <c r="G29" s="722" t="e">
        <f t="shared" si="2"/>
        <v>#N/A</v>
      </c>
      <c r="H29" s="723"/>
      <c r="I29" s="161">
        <v>5</v>
      </c>
      <c r="J29" s="162" t="e">
        <f t="shared" si="3"/>
        <v>#N/A</v>
      </c>
      <c r="K29" s="149"/>
    </row>
    <row r="30" spans="2:12" ht="19.95" customHeight="1" x14ac:dyDescent="0.2">
      <c r="B30" s="160" t="s">
        <v>2057</v>
      </c>
      <c r="C30" s="652" t="e">
        <f t="shared" si="0"/>
        <v>#N/A</v>
      </c>
      <c r="D30" s="652"/>
      <c r="E30" s="652"/>
      <c r="F30" s="161" t="s">
        <v>117</v>
      </c>
      <c r="G30" s="722" t="e">
        <f t="shared" si="2"/>
        <v>#N/A</v>
      </c>
      <c r="H30" s="723"/>
      <c r="I30" s="161">
        <v>35</v>
      </c>
      <c r="J30" s="162" t="e">
        <f t="shared" si="3"/>
        <v>#N/A</v>
      </c>
      <c r="K30" s="149"/>
    </row>
    <row r="31" spans="2:12" ht="19.95" customHeight="1" x14ac:dyDescent="0.2">
      <c r="B31" s="160" t="s">
        <v>2059</v>
      </c>
      <c r="C31" s="652" t="e">
        <f t="shared" si="0"/>
        <v>#N/A</v>
      </c>
      <c r="D31" s="652"/>
      <c r="E31" s="652"/>
      <c r="F31" s="161" t="s">
        <v>117</v>
      </c>
      <c r="G31" s="722" t="e">
        <f t="shared" si="2"/>
        <v>#N/A</v>
      </c>
      <c r="H31" s="723"/>
      <c r="I31" s="161">
        <v>30</v>
      </c>
      <c r="J31" s="162" t="e">
        <f t="shared" si="3"/>
        <v>#N/A</v>
      </c>
      <c r="K31" s="149"/>
    </row>
    <row r="32" spans="2:12" ht="19.95" customHeight="1" x14ac:dyDescent="0.2">
      <c r="B32" s="160" t="s">
        <v>117</v>
      </c>
      <c r="C32" s="652" t="s">
        <v>2640</v>
      </c>
      <c r="D32" s="652"/>
      <c r="E32" s="652"/>
      <c r="F32" s="161" t="s">
        <v>117</v>
      </c>
      <c r="G32" s="722">
        <v>3000</v>
      </c>
      <c r="H32" s="723"/>
      <c r="I32" s="161">
        <v>1</v>
      </c>
      <c r="J32" s="162">
        <f t="shared" si="3"/>
        <v>3000</v>
      </c>
      <c r="K32" s="149"/>
    </row>
    <row r="33" spans="2:14" ht="16.95" customHeight="1" x14ac:dyDescent="0.25">
      <c r="B33" s="55"/>
      <c r="C33" s="55"/>
      <c r="D33" s="53"/>
      <c r="E33" s="53"/>
      <c r="F33" s="53"/>
      <c r="G33" s="719" t="s">
        <v>2515</v>
      </c>
      <c r="H33" s="719"/>
      <c r="I33" s="719"/>
      <c r="J33" s="163" t="e">
        <f>SUM(J18:J32)</f>
        <v>#N/A</v>
      </c>
      <c r="K33" s="52"/>
    </row>
    <row r="34" spans="2:14" ht="16.95" customHeight="1" x14ac:dyDescent="0.25">
      <c r="B34" s="55"/>
      <c r="C34" s="55"/>
      <c r="D34" s="53"/>
      <c r="E34" s="53"/>
      <c r="F34" s="53"/>
      <c r="G34" s="719" t="s">
        <v>2516</v>
      </c>
      <c r="H34" s="719"/>
      <c r="I34" s="719"/>
      <c r="J34" s="163" t="e">
        <f>+J33*0.18</f>
        <v>#N/A</v>
      </c>
      <c r="K34" s="52"/>
    </row>
    <row r="35" spans="2:14" ht="16.95" customHeight="1" x14ac:dyDescent="0.25">
      <c r="B35" s="55"/>
      <c r="C35" s="55"/>
      <c r="D35" s="53"/>
      <c r="E35" s="53"/>
      <c r="F35" s="53"/>
      <c r="G35" s="720" t="s">
        <v>2543</v>
      </c>
      <c r="H35" s="720"/>
      <c r="I35" s="720"/>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12" t="s">
        <v>2544</v>
      </c>
      <c r="C39" s="712"/>
      <c r="D39" s="712"/>
      <c r="E39" s="712"/>
      <c r="F39" s="712"/>
      <c r="G39" s="712"/>
      <c r="H39" s="712"/>
      <c r="I39" s="712"/>
      <c r="J39" s="712"/>
      <c r="K39" s="150"/>
    </row>
    <row r="40" spans="2:14" ht="18.600000000000001" customHeight="1" x14ac:dyDescent="0.2">
      <c r="B40" s="712" t="s">
        <v>2596</v>
      </c>
      <c r="C40" s="712"/>
      <c r="D40" s="712"/>
      <c r="E40" s="712"/>
      <c r="F40" s="712"/>
      <c r="G40" s="712"/>
      <c r="H40" s="712"/>
      <c r="I40" s="712"/>
      <c r="J40" s="712"/>
      <c r="K40" s="150"/>
    </row>
    <row r="41" spans="2:14" ht="47.25" customHeight="1" x14ac:dyDescent="0.2">
      <c r="B41" s="707" t="s">
        <v>2641</v>
      </c>
      <c r="C41" s="707"/>
      <c r="D41" s="707"/>
      <c r="E41" s="707"/>
      <c r="F41" s="707"/>
      <c r="G41" s="707"/>
      <c r="H41" s="707"/>
      <c r="I41" s="707"/>
      <c r="J41" s="707"/>
      <c r="K41" s="150"/>
    </row>
    <row r="42" spans="2:14" ht="42.75" customHeight="1" x14ac:dyDescent="0.2">
      <c r="B42" s="715" t="s">
        <v>2642</v>
      </c>
      <c r="C42" s="715"/>
      <c r="D42" s="715"/>
      <c r="E42" s="715"/>
      <c r="F42" s="715"/>
      <c r="G42" s="715"/>
      <c r="H42" s="715"/>
      <c r="I42" s="715"/>
      <c r="J42" s="715"/>
      <c r="K42" s="150"/>
    </row>
    <row r="43" spans="2:14" ht="42.75" customHeight="1" x14ac:dyDescent="0.2">
      <c r="B43" s="710" t="s">
        <v>2643</v>
      </c>
      <c r="C43" s="710"/>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15" t="s">
        <v>2644</v>
      </c>
      <c r="C46" s="715"/>
      <c r="D46" s="715"/>
      <c r="E46" s="715"/>
      <c r="F46" s="715"/>
      <c r="G46" s="715"/>
      <c r="H46" s="715"/>
      <c r="I46" s="715"/>
      <c r="J46" s="715"/>
      <c r="K46" s="150"/>
    </row>
    <row r="47" spans="2:14" ht="38.25" customHeight="1" x14ac:dyDescent="0.2">
      <c r="B47" s="715" t="s">
        <v>2645</v>
      </c>
      <c r="C47" s="715"/>
      <c r="D47" s="715"/>
      <c r="E47" s="715"/>
      <c r="F47" s="715"/>
      <c r="G47" s="715"/>
      <c r="H47" s="715"/>
      <c r="I47" s="715"/>
      <c r="J47" s="715"/>
      <c r="K47" s="150"/>
    </row>
    <row r="48" spans="2:14" ht="42.75" customHeight="1" x14ac:dyDescent="0.2">
      <c r="B48" s="715" t="s">
        <v>2570</v>
      </c>
      <c r="C48" s="715"/>
      <c r="D48" s="715"/>
      <c r="E48" s="715"/>
      <c r="F48" s="715"/>
      <c r="G48" s="715"/>
      <c r="H48" s="715"/>
      <c r="I48" s="715"/>
      <c r="J48" s="715"/>
      <c r="K48" s="150"/>
    </row>
    <row r="49" spans="2:21" ht="18.600000000000001" customHeight="1" x14ac:dyDescent="0.2">
      <c r="B49" s="712" t="s">
        <v>2572</v>
      </c>
      <c r="C49" s="712"/>
      <c r="D49" s="712"/>
      <c r="E49" s="712"/>
      <c r="F49" s="712"/>
      <c r="G49" s="712"/>
      <c r="H49" s="712"/>
      <c r="I49" s="712"/>
      <c r="J49" s="712"/>
      <c r="K49" s="150"/>
    </row>
    <row r="50" spans="2:21" ht="32.4" customHeight="1" x14ac:dyDescent="0.2">
      <c r="B50" s="707" t="s">
        <v>2573</v>
      </c>
      <c r="C50" s="707"/>
      <c r="D50" s="707"/>
      <c r="E50" s="707"/>
      <c r="F50" s="707"/>
      <c r="G50" s="707"/>
      <c r="H50" s="707"/>
      <c r="I50" s="707"/>
      <c r="J50" s="707"/>
      <c r="K50" s="150"/>
    </row>
    <row r="51" spans="2:21" ht="32.4" customHeight="1" x14ac:dyDescent="0.2">
      <c r="B51" s="707" t="s">
        <v>2574</v>
      </c>
      <c r="C51" s="707"/>
      <c r="D51" s="707"/>
      <c r="E51" s="707"/>
      <c r="F51" s="707"/>
      <c r="G51" s="707"/>
      <c r="H51" s="707"/>
      <c r="I51" s="707"/>
      <c r="J51" s="707"/>
      <c r="K51" s="150"/>
      <c r="L51" s="90"/>
    </row>
    <row r="52" spans="2:21" ht="32.4" customHeight="1" x14ac:dyDescent="0.2">
      <c r="B52" s="707" t="s">
        <v>2575</v>
      </c>
      <c r="C52" s="707"/>
      <c r="D52" s="707"/>
      <c r="E52" s="707"/>
      <c r="F52" s="707"/>
      <c r="G52" s="707"/>
      <c r="H52" s="707"/>
      <c r="I52" s="707"/>
      <c r="J52" s="707"/>
      <c r="K52" s="150"/>
      <c r="L52" s="90"/>
      <c r="M52" s="82"/>
      <c r="N52" s="83"/>
    </row>
    <row r="53" spans="2:21" ht="56.4" customHeight="1" x14ac:dyDescent="0.2">
      <c r="B53" s="707" t="s">
        <v>2576</v>
      </c>
      <c r="C53" s="707"/>
      <c r="D53" s="707"/>
      <c r="E53" s="707"/>
      <c r="F53" s="707"/>
      <c r="G53" s="707"/>
      <c r="H53" s="707"/>
      <c r="I53" s="707"/>
      <c r="J53" s="707"/>
      <c r="K53" s="150"/>
      <c r="L53" s="90"/>
      <c r="M53" s="82"/>
      <c r="N53" s="83"/>
    </row>
    <row r="54" spans="2:21" ht="56.4" customHeight="1" x14ac:dyDescent="0.2">
      <c r="B54" s="707" t="s">
        <v>2646</v>
      </c>
      <c r="C54" s="707"/>
      <c r="D54" s="707"/>
      <c r="E54" s="707"/>
      <c r="F54" s="707"/>
      <c r="G54" s="707"/>
      <c r="H54" s="707"/>
      <c r="I54" s="707"/>
      <c r="J54" s="707"/>
      <c r="K54" s="150"/>
      <c r="L54" s="90"/>
      <c r="M54" s="82"/>
      <c r="N54" s="83"/>
    </row>
    <row r="55" spans="2:21" ht="32.4" customHeight="1" x14ac:dyDescent="0.2">
      <c r="B55" s="707" t="s">
        <v>2647</v>
      </c>
      <c r="C55" s="707"/>
      <c r="D55" s="707"/>
      <c r="E55" s="707"/>
      <c r="F55" s="707"/>
      <c r="G55" s="707"/>
      <c r="H55" s="707"/>
      <c r="I55" s="707"/>
      <c r="J55" s="707"/>
      <c r="K55" s="150"/>
      <c r="M55" s="82"/>
      <c r="N55" s="83"/>
    </row>
    <row r="56" spans="2:21" ht="56.4" customHeight="1" x14ac:dyDescent="0.2">
      <c r="B56" s="707" t="s">
        <v>2648</v>
      </c>
      <c r="C56" s="707"/>
      <c r="D56" s="707"/>
      <c r="E56" s="707"/>
      <c r="F56" s="707"/>
      <c r="G56" s="707"/>
      <c r="H56" s="707"/>
      <c r="I56" s="707"/>
      <c r="J56" s="707"/>
      <c r="K56" s="150"/>
      <c r="M56" s="82"/>
      <c r="N56" s="83"/>
    </row>
    <row r="57" spans="2:21" ht="16.2" customHeight="1" x14ac:dyDescent="0.2">
      <c r="B57" s="51"/>
      <c r="C57" s="51"/>
      <c r="D57" s="51"/>
      <c r="E57" s="51"/>
      <c r="F57" s="51"/>
      <c r="G57" s="51"/>
      <c r="H57" s="51"/>
      <c r="I57" s="51"/>
      <c r="J57" s="51"/>
      <c r="K57" s="51"/>
    </row>
    <row r="58" spans="2:21" ht="16.2" customHeight="1" x14ac:dyDescent="0.2">
      <c r="B58" s="708"/>
      <c r="C58" s="708"/>
      <c r="D58" s="708"/>
      <c r="E58" s="708"/>
      <c r="F58" s="708"/>
      <c r="G58" s="708"/>
      <c r="H58" s="708"/>
      <c r="I58" s="708"/>
      <c r="J58" s="708"/>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09" t="s">
        <v>2588</v>
      </c>
      <c r="C71" s="709"/>
      <c r="D71" s="709"/>
      <c r="E71" s="709"/>
      <c r="F71" s="709"/>
      <c r="G71" s="709"/>
      <c r="H71" s="709"/>
      <c r="I71" s="709"/>
      <c r="J71" s="709"/>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10" t="s">
        <v>2649</v>
      </c>
      <c r="C83" s="710"/>
      <c r="I83" s="711" t="s">
        <v>2485</v>
      </c>
      <c r="J83" s="711"/>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B71:J71"/>
    <mergeCell ref="B83:C83"/>
    <mergeCell ref="I83:J83"/>
    <mergeCell ref="B51:J51"/>
    <mergeCell ref="B52:J52"/>
    <mergeCell ref="B53:J53"/>
    <mergeCell ref="B55:J55"/>
    <mergeCell ref="B56:J56"/>
    <mergeCell ref="B58:J58"/>
    <mergeCell ref="B54:J54"/>
    <mergeCell ref="B50:J50"/>
    <mergeCell ref="G33:I33"/>
    <mergeCell ref="G34:I34"/>
    <mergeCell ref="G35:I35"/>
    <mergeCell ref="B39:J39"/>
    <mergeCell ref="B41:J41"/>
    <mergeCell ref="B42:J42"/>
    <mergeCell ref="B46:J46"/>
    <mergeCell ref="B47:J47"/>
    <mergeCell ref="B43:C43"/>
    <mergeCell ref="B48:J48"/>
    <mergeCell ref="B49:J49"/>
    <mergeCell ref="B40:J40"/>
    <mergeCell ref="C30:E30"/>
    <mergeCell ref="G30:H30"/>
    <mergeCell ref="C31:E31"/>
    <mergeCell ref="G31:H31"/>
    <mergeCell ref="C32:E32"/>
    <mergeCell ref="G32:H32"/>
    <mergeCell ref="C27:E27"/>
    <mergeCell ref="G27:H27"/>
    <mergeCell ref="C28:E28"/>
    <mergeCell ref="G28:H28"/>
    <mergeCell ref="C29:E29"/>
    <mergeCell ref="G29:H29"/>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24">
        <v>951734376</v>
      </c>
      <c r="I9" s="724"/>
      <c r="J9" s="154"/>
    </row>
    <row r="10" spans="2:13" ht="16.2" customHeight="1" x14ac:dyDescent="0.2">
      <c r="B10" s="171" t="s">
        <v>2535</v>
      </c>
      <c r="C10" s="66">
        <f>VLOOKUP($M$1,clientes1,7,FALSE)</f>
        <v>995411390</v>
      </c>
      <c r="D10" s="152"/>
      <c r="E10" s="154"/>
      <c r="F10" s="155" t="s">
        <v>2536</v>
      </c>
      <c r="H10" s="725">
        <v>44385</v>
      </c>
      <c r="I10" s="725"/>
      <c r="J10" s="154"/>
    </row>
    <row r="11" spans="2:13" ht="16.2" customHeight="1" x14ac:dyDescent="0.2">
      <c r="B11" s="171" t="s">
        <v>2537</v>
      </c>
      <c r="C11" s="66" t="str">
        <f>VLOOKUP($M$1,clientes1,8,FALSE)</f>
        <v>ncotera@consorcioambo.com.pe</v>
      </c>
      <c r="D11" s="152"/>
      <c r="E11" s="170"/>
      <c r="F11" s="155" t="s">
        <v>2538</v>
      </c>
      <c r="H11" s="725">
        <v>44390</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2" customHeight="1" x14ac:dyDescent="0.2">
      <c r="B15" s="726"/>
      <c r="C15" s="726"/>
      <c r="D15" s="726"/>
      <c r="E15" s="726"/>
      <c r="F15" s="726"/>
      <c r="G15" s="726"/>
      <c r="H15" s="726"/>
      <c r="I15" s="726"/>
      <c r="J15" s="726"/>
      <c r="K15" s="146"/>
      <c r="L15" s="146"/>
    </row>
    <row r="16" spans="2:13" ht="3.75" customHeight="1" x14ac:dyDescent="0.2">
      <c r="B16" s="68"/>
      <c r="C16" s="68"/>
      <c r="D16" s="65"/>
      <c r="E16" s="65"/>
      <c r="F16" s="65"/>
    </row>
    <row r="17" spans="2:14" ht="37.200000000000003" customHeight="1" x14ac:dyDescent="0.25">
      <c r="B17" s="308" t="s">
        <v>2510</v>
      </c>
      <c r="C17" s="727" t="s">
        <v>2650</v>
      </c>
      <c r="D17" s="727"/>
      <c r="E17" s="727"/>
      <c r="F17" s="313" t="s">
        <v>2511</v>
      </c>
      <c r="G17" s="728" t="s">
        <v>2594</v>
      </c>
      <c r="H17" s="729"/>
      <c r="I17" s="308" t="s">
        <v>2513</v>
      </c>
      <c r="J17" s="75" t="s">
        <v>2514</v>
      </c>
      <c r="K17" s="147"/>
    </row>
    <row r="18" spans="2:14" ht="100.5" customHeight="1" x14ac:dyDescent="0.2">
      <c r="B18" s="160" t="s">
        <v>2651</v>
      </c>
      <c r="C18" s="652" t="s">
        <v>2652</v>
      </c>
      <c r="D18" s="652"/>
      <c r="E18" s="652"/>
      <c r="F18" s="161" t="s">
        <v>2653</v>
      </c>
      <c r="G18" s="722">
        <v>8000</v>
      </c>
      <c r="H18" s="723"/>
      <c r="I18" s="161" t="s">
        <v>2654</v>
      </c>
      <c r="J18" s="162">
        <f>+G18</f>
        <v>8000</v>
      </c>
      <c r="K18" s="148"/>
      <c r="L18" s="134"/>
    </row>
    <row r="19" spans="2:14" ht="19.5" customHeight="1" x14ac:dyDescent="0.2">
      <c r="B19" s="160"/>
      <c r="C19" s="652"/>
      <c r="D19" s="652"/>
      <c r="E19" s="652"/>
      <c r="F19" s="161"/>
      <c r="G19" s="722"/>
      <c r="H19" s="723"/>
      <c r="I19" s="161"/>
      <c r="J19" s="162"/>
      <c r="K19" s="149"/>
    </row>
    <row r="20" spans="2:14" ht="19.5" hidden="1" customHeight="1" x14ac:dyDescent="0.2">
      <c r="B20" s="160"/>
      <c r="C20" s="652"/>
      <c r="D20" s="652"/>
      <c r="E20" s="652"/>
      <c r="F20" s="161"/>
      <c r="G20" s="722"/>
      <c r="H20" s="723"/>
      <c r="I20" s="161"/>
      <c r="J20" s="162"/>
      <c r="K20" s="149"/>
    </row>
    <row r="21" spans="2:14" ht="19.5" hidden="1" customHeight="1" x14ac:dyDescent="0.2">
      <c r="B21" s="160"/>
      <c r="C21" s="652"/>
      <c r="D21" s="652"/>
      <c r="E21" s="652"/>
      <c r="F21" s="161"/>
      <c r="G21" s="722"/>
      <c r="H21" s="723"/>
      <c r="I21" s="161"/>
      <c r="J21" s="162"/>
      <c r="K21" s="149"/>
    </row>
    <row r="22" spans="2:14" ht="19.5" hidden="1" customHeight="1" x14ac:dyDescent="0.2">
      <c r="B22" s="160"/>
      <c r="C22" s="652"/>
      <c r="D22" s="652"/>
      <c r="E22" s="652"/>
      <c r="F22" s="161"/>
      <c r="G22" s="722"/>
      <c r="H22" s="723"/>
      <c r="I22" s="161"/>
      <c r="J22" s="162"/>
      <c r="K22" s="149"/>
    </row>
    <row r="23" spans="2:14" ht="19.5" hidden="1" customHeight="1" x14ac:dyDescent="0.2">
      <c r="B23" s="160"/>
      <c r="C23" s="652"/>
      <c r="D23" s="652"/>
      <c r="E23" s="652"/>
      <c r="F23" s="161"/>
      <c r="G23" s="722"/>
      <c r="H23" s="723"/>
      <c r="I23" s="161"/>
      <c r="J23" s="162"/>
      <c r="K23" s="149"/>
      <c r="L23" s="179"/>
    </row>
    <row r="24" spans="2:14" ht="19.5" hidden="1" customHeight="1" x14ac:dyDescent="0.2">
      <c r="B24" s="160"/>
      <c r="C24" s="652"/>
      <c r="D24" s="652"/>
      <c r="E24" s="652"/>
      <c r="F24" s="161"/>
      <c r="G24" s="722"/>
      <c r="H24" s="723"/>
      <c r="I24" s="161"/>
      <c r="J24" s="162"/>
      <c r="K24" s="149"/>
    </row>
    <row r="25" spans="2:14" ht="19.5" hidden="1" customHeight="1" x14ac:dyDescent="0.2">
      <c r="B25" s="160"/>
      <c r="C25" s="652"/>
      <c r="D25" s="652"/>
      <c r="E25" s="652"/>
      <c r="F25" s="161"/>
      <c r="G25" s="722"/>
      <c r="H25" s="723"/>
      <c r="I25" s="161"/>
      <c r="J25" s="162"/>
      <c r="K25" s="149"/>
    </row>
    <row r="26" spans="2:14" ht="16.95" customHeight="1" x14ac:dyDescent="0.25">
      <c r="B26" s="55"/>
      <c r="C26" s="55"/>
      <c r="D26" s="53"/>
      <c r="E26" s="53"/>
      <c r="F26" s="53"/>
      <c r="G26" s="719" t="s">
        <v>2515</v>
      </c>
      <c r="H26" s="719"/>
      <c r="I26" s="719"/>
      <c r="J26" s="163">
        <f>SUM(J18:J25)</f>
        <v>8000</v>
      </c>
      <c r="K26" s="52"/>
    </row>
    <row r="27" spans="2:14" ht="16.95" customHeight="1" x14ac:dyDescent="0.25">
      <c r="B27" s="55"/>
      <c r="C27" s="55"/>
      <c r="D27" s="53"/>
      <c r="E27" s="53"/>
      <c r="F27" s="53"/>
      <c r="G27" s="719" t="s">
        <v>2516</v>
      </c>
      <c r="H27" s="719"/>
      <c r="I27" s="719"/>
      <c r="J27" s="163">
        <f>+J26*0.18</f>
        <v>1440</v>
      </c>
      <c r="K27" s="52"/>
    </row>
    <row r="28" spans="2:14" ht="16.95" customHeight="1" x14ac:dyDescent="0.25">
      <c r="B28" s="55"/>
      <c r="C28" s="55"/>
      <c r="D28" s="53"/>
      <c r="E28" s="53"/>
      <c r="F28" s="53"/>
      <c r="G28" s="720" t="s">
        <v>2543</v>
      </c>
      <c r="H28" s="720"/>
      <c r="I28" s="720"/>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12" t="s">
        <v>2544</v>
      </c>
      <c r="C32" s="712"/>
      <c r="D32" s="712"/>
      <c r="E32" s="712"/>
      <c r="F32" s="712"/>
      <c r="G32" s="712"/>
      <c r="H32" s="712"/>
      <c r="I32" s="712"/>
      <c r="J32" s="712"/>
      <c r="K32" s="150"/>
    </row>
    <row r="33" spans="2:11" ht="18.600000000000001" customHeight="1" x14ac:dyDescent="0.2">
      <c r="B33" s="712" t="s">
        <v>2596</v>
      </c>
      <c r="C33" s="712"/>
      <c r="D33" s="712"/>
      <c r="E33" s="712"/>
      <c r="F33" s="712"/>
      <c r="G33" s="712"/>
      <c r="H33" s="712"/>
      <c r="I33" s="712"/>
      <c r="J33" s="712"/>
      <c r="K33" s="150"/>
    </row>
    <row r="34" spans="2:11" ht="24" customHeight="1" x14ac:dyDescent="0.2">
      <c r="B34" s="707" t="s">
        <v>2655</v>
      </c>
      <c r="C34" s="707"/>
      <c r="D34" s="707"/>
      <c r="E34" s="707"/>
      <c r="F34" s="707"/>
      <c r="G34" s="707"/>
      <c r="H34" s="707"/>
      <c r="I34" s="707"/>
      <c r="J34" s="707"/>
      <c r="K34" s="150"/>
    </row>
    <row r="35" spans="2:11" ht="20.25" customHeight="1" x14ac:dyDescent="0.2">
      <c r="B35" s="712" t="s">
        <v>2572</v>
      </c>
      <c r="C35" s="712"/>
      <c r="D35" s="712"/>
      <c r="E35" s="712"/>
      <c r="F35" s="712"/>
      <c r="G35" s="712"/>
      <c r="H35" s="712"/>
      <c r="I35" s="712"/>
      <c r="J35" s="712"/>
      <c r="K35" s="150"/>
    </row>
    <row r="36" spans="2:11" ht="20.25" customHeight="1" x14ac:dyDescent="0.2">
      <c r="B36" s="712" t="s">
        <v>2656</v>
      </c>
      <c r="C36" s="712"/>
      <c r="D36" s="712"/>
      <c r="E36" s="712"/>
      <c r="F36" s="712"/>
      <c r="G36" s="712"/>
      <c r="H36" s="712"/>
      <c r="I36" s="712"/>
      <c r="J36" s="712"/>
      <c r="K36" s="150"/>
    </row>
    <row r="37" spans="2:11" ht="30.75" customHeight="1" x14ac:dyDescent="0.2">
      <c r="B37" s="715" t="s">
        <v>2657</v>
      </c>
      <c r="C37" s="715"/>
      <c r="D37" s="715"/>
      <c r="E37" s="715"/>
      <c r="F37" s="715"/>
      <c r="G37" s="715"/>
      <c r="H37" s="715"/>
      <c r="I37" s="715"/>
      <c r="J37" s="715"/>
      <c r="K37" s="150"/>
    </row>
    <row r="38" spans="2:11" ht="23.25" customHeight="1" x14ac:dyDescent="0.2">
      <c r="B38" s="715" t="s">
        <v>2658</v>
      </c>
      <c r="C38" s="715"/>
      <c r="D38" s="715"/>
      <c r="E38" s="715"/>
      <c r="F38" s="715"/>
      <c r="G38" s="715"/>
      <c r="H38" s="715"/>
      <c r="I38" s="715"/>
      <c r="J38" s="71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10" t="s">
        <v>2659</v>
      </c>
      <c r="C43" s="710"/>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07" t="s">
        <v>2660</v>
      </c>
      <c r="C48" s="707"/>
      <c r="D48" s="707"/>
      <c r="E48" s="707"/>
      <c r="F48" s="707"/>
      <c r="G48" s="707"/>
      <c r="H48" s="707"/>
      <c r="I48" s="707"/>
      <c r="J48" s="707"/>
      <c r="K48" s="150"/>
    </row>
    <row r="49" spans="2:21" ht="38.25" hidden="1" customHeight="1" x14ac:dyDescent="0.2">
      <c r="B49" s="715" t="s">
        <v>2661</v>
      </c>
      <c r="C49" s="715"/>
      <c r="D49" s="715"/>
      <c r="E49" s="715"/>
      <c r="F49" s="715"/>
      <c r="G49" s="715"/>
      <c r="H49" s="715"/>
      <c r="I49" s="715"/>
      <c r="J49" s="715"/>
      <c r="K49" s="150"/>
    </row>
    <row r="50" spans="2:21" ht="30" hidden="1" customHeight="1" x14ac:dyDescent="0.2">
      <c r="B50" s="715" t="s">
        <v>2570</v>
      </c>
      <c r="C50" s="715"/>
      <c r="D50" s="715"/>
      <c r="E50" s="715"/>
      <c r="F50" s="715"/>
      <c r="G50" s="715"/>
      <c r="H50" s="715"/>
      <c r="I50" s="715"/>
      <c r="J50" s="715"/>
      <c r="K50" s="150"/>
    </row>
    <row r="51" spans="2:21" ht="30" hidden="1" customHeight="1" x14ac:dyDescent="0.2">
      <c r="B51" s="707" t="s">
        <v>2573</v>
      </c>
      <c r="C51" s="707"/>
      <c r="D51" s="707"/>
      <c r="E51" s="707"/>
      <c r="F51" s="707"/>
      <c r="G51" s="707"/>
      <c r="H51" s="707"/>
      <c r="I51" s="707"/>
      <c r="J51" s="707"/>
      <c r="K51" s="150"/>
    </row>
    <row r="52" spans="2:21" ht="30" hidden="1" customHeight="1" x14ac:dyDescent="0.2">
      <c r="B52" s="707" t="s">
        <v>2574</v>
      </c>
      <c r="C52" s="707"/>
      <c r="D52" s="707"/>
      <c r="E52" s="707"/>
      <c r="F52" s="707"/>
      <c r="G52" s="707"/>
      <c r="H52" s="707"/>
      <c r="I52" s="707"/>
      <c r="J52" s="707"/>
      <c r="K52" s="150"/>
      <c r="L52" s="90"/>
    </row>
    <row r="53" spans="2:21" ht="30" hidden="1" customHeight="1" x14ac:dyDescent="0.2">
      <c r="B53" s="707" t="s">
        <v>2575</v>
      </c>
      <c r="C53" s="707"/>
      <c r="D53" s="707"/>
      <c r="E53" s="707"/>
      <c r="F53" s="707"/>
      <c r="G53" s="707"/>
      <c r="H53" s="707"/>
      <c r="I53" s="707"/>
      <c r="J53" s="707"/>
      <c r="K53" s="150"/>
      <c r="L53" s="90"/>
      <c r="M53" s="82"/>
      <c r="N53" s="83"/>
    </row>
    <row r="54" spans="2:21" ht="56.4" hidden="1" customHeight="1" x14ac:dyDescent="0.2">
      <c r="B54" s="707" t="s">
        <v>2576</v>
      </c>
      <c r="C54" s="707"/>
      <c r="D54" s="707"/>
      <c r="E54" s="707"/>
      <c r="F54" s="707"/>
      <c r="G54" s="707"/>
      <c r="H54" s="707"/>
      <c r="I54" s="707"/>
      <c r="J54" s="707"/>
      <c r="K54" s="150"/>
      <c r="L54" s="90"/>
      <c r="M54" s="82"/>
      <c r="N54" s="83"/>
    </row>
    <row r="55" spans="2:21" ht="56.4" hidden="1" customHeight="1" x14ac:dyDescent="0.2">
      <c r="B55" s="707" t="s">
        <v>2646</v>
      </c>
      <c r="C55" s="707"/>
      <c r="D55" s="707"/>
      <c r="E55" s="707"/>
      <c r="F55" s="707"/>
      <c r="G55" s="707"/>
      <c r="H55" s="707"/>
      <c r="I55" s="707"/>
      <c r="J55" s="707"/>
      <c r="K55" s="150"/>
      <c r="L55" s="90"/>
      <c r="M55" s="82"/>
      <c r="N55" s="83"/>
    </row>
    <row r="56" spans="2:21" ht="32.4" hidden="1" customHeight="1" x14ac:dyDescent="0.2">
      <c r="B56" s="707" t="s">
        <v>2647</v>
      </c>
      <c r="C56" s="707"/>
      <c r="D56" s="707"/>
      <c r="E56" s="707"/>
      <c r="F56" s="707"/>
      <c r="G56" s="707"/>
      <c r="H56" s="707"/>
      <c r="I56" s="707"/>
      <c r="J56" s="707"/>
      <c r="K56" s="150"/>
      <c r="M56" s="82"/>
      <c r="N56" s="83"/>
    </row>
    <row r="57" spans="2:21" ht="13.5" hidden="1" customHeight="1" x14ac:dyDescent="0.2">
      <c r="B57" s="707" t="s">
        <v>2648</v>
      </c>
      <c r="C57" s="707"/>
      <c r="D57" s="707"/>
      <c r="E57" s="707"/>
      <c r="F57" s="707"/>
      <c r="G57" s="707"/>
      <c r="H57" s="707"/>
      <c r="I57" s="707"/>
      <c r="J57" s="707"/>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08"/>
      <c r="C60" s="708"/>
      <c r="D60" s="708"/>
      <c r="E60" s="708"/>
      <c r="F60" s="708"/>
      <c r="G60" s="708"/>
      <c r="H60" s="708"/>
      <c r="I60" s="708"/>
      <c r="J60" s="708"/>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09" t="s">
        <v>2588</v>
      </c>
      <c r="C73" s="709"/>
      <c r="D73" s="709"/>
      <c r="E73" s="709"/>
      <c r="F73" s="709"/>
      <c r="G73" s="709"/>
      <c r="H73" s="709"/>
      <c r="I73" s="709"/>
      <c r="J73" s="709"/>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11" t="s">
        <v>2485</v>
      </c>
      <c r="J84" s="711"/>
      <c r="K84" s="81"/>
    </row>
    <row r="85" spans="2:14" ht="315" customHeight="1" x14ac:dyDescent="0.2">
      <c r="C85" s="158"/>
      <c r="D85" s="159"/>
      <c r="E85" s="159"/>
      <c r="F85" s="159"/>
      <c r="G85" s="159"/>
      <c r="H85" s="159"/>
      <c r="I85" s="159"/>
      <c r="J85" s="159"/>
    </row>
    <row r="86" spans="2:14" ht="45.75" customHeight="1" x14ac:dyDescent="0.2">
      <c r="B86" s="710" t="s">
        <v>2663</v>
      </c>
      <c r="C86" s="710"/>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E2:F2"/>
    <mergeCell ref="G4:J5"/>
    <mergeCell ref="L4:M4"/>
    <mergeCell ref="L5:M5"/>
    <mergeCell ref="G6:J7"/>
    <mergeCell ref="H9:I9"/>
    <mergeCell ref="H10:I10"/>
    <mergeCell ref="H11:I11"/>
    <mergeCell ref="B14:J15"/>
    <mergeCell ref="C17:E17"/>
    <mergeCell ref="G17:H17"/>
    <mergeCell ref="C18:E18"/>
    <mergeCell ref="G18:H18"/>
    <mergeCell ref="C19:E19"/>
    <mergeCell ref="G19:H19"/>
    <mergeCell ref="C21:E21"/>
    <mergeCell ref="G21:H21"/>
    <mergeCell ref="C20:E20"/>
    <mergeCell ref="G20:H20"/>
    <mergeCell ref="C25:E25"/>
    <mergeCell ref="G25:H25"/>
    <mergeCell ref="C22:E22"/>
    <mergeCell ref="G22:H22"/>
    <mergeCell ref="C23:E23"/>
    <mergeCell ref="G23:H23"/>
    <mergeCell ref="C24:E24"/>
    <mergeCell ref="G24:H24"/>
    <mergeCell ref="B51:J51"/>
    <mergeCell ref="G26:I26"/>
    <mergeCell ref="G27:I27"/>
    <mergeCell ref="G28:I28"/>
    <mergeCell ref="B32:J32"/>
    <mergeCell ref="B48:J48"/>
    <mergeCell ref="B36:J36"/>
    <mergeCell ref="B37:J37"/>
    <mergeCell ref="B38:J38"/>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33" t="str">
        <f>VLOOKUP($M$1,clientes1,4,FALSE)</f>
        <v>CAL.CORONEL ANDRES REYES NRO. 360 INT. 501 URB. JARDIN - SAN ISIDRO</v>
      </c>
      <c r="D6" s="733"/>
      <c r="E6" s="733"/>
      <c r="F6" s="153" t="s">
        <v>2532</v>
      </c>
      <c r="G6" s="747">
        <f>VLOOKUP($M$1,clientes1,10,FALSE)</f>
        <v>0</v>
      </c>
      <c r="H6" s="747"/>
      <c r="I6" s="747"/>
      <c r="J6" s="747"/>
    </row>
    <row r="7" spans="2:13" ht="16.2" customHeight="1" x14ac:dyDescent="0.2">
      <c r="B7" s="153"/>
      <c r="C7" s="733"/>
      <c r="D7" s="733"/>
      <c r="E7" s="733"/>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995141802</v>
      </c>
      <c r="D10" s="152"/>
      <c r="E10" s="154"/>
      <c r="F10" s="155" t="s">
        <v>2536</v>
      </c>
      <c r="H10" s="725">
        <v>44331</v>
      </c>
      <c r="I10" s="725"/>
      <c r="J10" s="154"/>
    </row>
    <row r="11" spans="2:13" ht="16.2" customHeight="1" x14ac:dyDescent="0.2">
      <c r="B11" s="171" t="s">
        <v>2537</v>
      </c>
      <c r="C11" s="66" t="str">
        <f>VLOOKUP($M$1,clientes1,8,FALSE)</f>
        <v>nmayorca.caeronavalc@gmail.com</v>
      </c>
      <c r="D11" s="152"/>
      <c r="E11" s="170"/>
      <c r="F11" s="155" t="s">
        <v>2538</v>
      </c>
      <c r="H11" s="725">
        <v>44343</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21.75" customHeight="1" x14ac:dyDescent="0.2">
      <c r="B18" s="160" t="s">
        <v>2250</v>
      </c>
      <c r="C18" s="656" t="e">
        <f t="shared" ref="C18:C28" si="0">VLOOKUP(B18,SERVICIOENSAYOS,2,FALSE)</f>
        <v>#N/A</v>
      </c>
      <c r="D18" s="657"/>
      <c r="E18" s="658"/>
      <c r="F18" s="161" t="e">
        <f t="shared" ref="F18:F28" si="1">+VLOOKUP(B18,SERVICIOENSAYOS,3,FALSE)</f>
        <v>#N/A</v>
      </c>
      <c r="G18" s="722" t="e">
        <f t="shared" ref="G18:G28" si="2">+VLOOKUP(B18,SERVICIOENSAYOS,5,FALSE)</f>
        <v>#N/A</v>
      </c>
      <c r="H18" s="723"/>
      <c r="I18" s="161">
        <v>1</v>
      </c>
      <c r="J18" s="162" t="e">
        <f t="shared" ref="J18:J26" si="3">+G18*I18</f>
        <v>#N/A</v>
      </c>
      <c r="K18" s="148"/>
      <c r="L18" s="134"/>
    </row>
    <row r="19" spans="2:12" ht="39" customHeight="1" x14ac:dyDescent="0.2">
      <c r="B19" s="160" t="s">
        <v>2256</v>
      </c>
      <c r="C19" s="656" t="str">
        <f t="shared" si="0"/>
        <v>Estabilidad y Flujo Marshall (Incluye: elaboración de briqueta 3und)</v>
      </c>
      <c r="D19" s="657"/>
      <c r="E19" s="658"/>
      <c r="F19" s="161" t="str">
        <f t="shared" si="1"/>
        <v>ASTM D1559</v>
      </c>
      <c r="G19" s="722" t="str">
        <f t="shared" si="2"/>
        <v>-</v>
      </c>
      <c r="H19" s="723"/>
      <c r="I19" s="161">
        <v>1</v>
      </c>
      <c r="J19" s="162" t="e">
        <f t="shared" si="3"/>
        <v>#VALUE!</v>
      </c>
      <c r="K19" s="149"/>
    </row>
    <row r="20" spans="2:12" ht="21.75" customHeight="1" x14ac:dyDescent="0.2">
      <c r="B20" s="160" t="s">
        <v>2258</v>
      </c>
      <c r="C20" s="652" t="str">
        <f t="shared" si="0"/>
        <v>Densidad máxima teórica (Rice).</v>
      </c>
      <c r="D20" s="652"/>
      <c r="E20" s="652"/>
      <c r="F20" s="161" t="str">
        <f t="shared" si="1"/>
        <v>ASTM D2041</v>
      </c>
      <c r="G20" s="722" t="str">
        <f t="shared" si="2"/>
        <v>ASTM D2041</v>
      </c>
      <c r="H20" s="723"/>
      <c r="I20" s="161">
        <v>1</v>
      </c>
      <c r="J20" s="162" t="e">
        <f t="shared" si="3"/>
        <v>#VALUE!</v>
      </c>
      <c r="K20" s="149"/>
    </row>
    <row r="21" spans="2:12" ht="21.75" customHeight="1" x14ac:dyDescent="0.2">
      <c r="B21" s="160" t="s">
        <v>2183</v>
      </c>
      <c r="C21" s="652" t="str">
        <f t="shared" si="0"/>
        <v>Resistencia a la compresión de mortero con especimen cubicos de 50 mm.</v>
      </c>
      <c r="D21" s="652"/>
      <c r="E21" s="652"/>
      <c r="F21" s="161" t="s">
        <v>117</v>
      </c>
      <c r="G21" s="722" t="str">
        <f t="shared" si="2"/>
        <v>-</v>
      </c>
      <c r="H21" s="723"/>
      <c r="I21" s="161">
        <v>1</v>
      </c>
      <c r="J21" s="162" t="e">
        <f t="shared" si="3"/>
        <v>#VALUE!</v>
      </c>
      <c r="K21" s="149"/>
    </row>
    <row r="22" spans="2:12" ht="21.75" customHeight="1" x14ac:dyDescent="0.2">
      <c r="B22" s="176" t="s">
        <v>1951</v>
      </c>
      <c r="C22" s="737" t="e">
        <f t="shared" si="0"/>
        <v>#N/A</v>
      </c>
      <c r="D22" s="737"/>
      <c r="E22" s="737"/>
      <c r="F22" s="177" t="e">
        <f t="shared" si="1"/>
        <v>#N/A</v>
      </c>
      <c r="G22" s="717" t="e">
        <f t="shared" si="2"/>
        <v>#N/A</v>
      </c>
      <c r="H22" s="718"/>
      <c r="I22" s="177">
        <v>0</v>
      </c>
      <c r="J22" s="178" t="e">
        <f>+G22*I22</f>
        <v>#N/A</v>
      </c>
      <c r="K22" s="149"/>
    </row>
    <row r="23" spans="2:12" ht="21.75" customHeight="1" x14ac:dyDescent="0.2">
      <c r="B23" s="176" t="s">
        <v>1994</v>
      </c>
      <c r="C23" s="737" t="e">
        <f t="shared" si="0"/>
        <v>#N/A</v>
      </c>
      <c r="D23" s="737"/>
      <c r="E23" s="737"/>
      <c r="F23" s="177" t="e">
        <f t="shared" si="1"/>
        <v>#N/A</v>
      </c>
      <c r="G23" s="717" t="e">
        <f t="shared" si="2"/>
        <v>#N/A</v>
      </c>
      <c r="H23" s="718"/>
      <c r="I23" s="177">
        <v>0</v>
      </c>
      <c r="J23" s="178" t="e">
        <f>+G23*I23</f>
        <v>#N/A</v>
      </c>
      <c r="K23" s="149"/>
    </row>
    <row r="24" spans="2:12" ht="21.75" customHeight="1" x14ac:dyDescent="0.2">
      <c r="B24" s="176" t="s">
        <v>1997</v>
      </c>
      <c r="C24" s="737" t="e">
        <f t="shared" si="0"/>
        <v>#N/A</v>
      </c>
      <c r="D24" s="737"/>
      <c r="E24" s="737"/>
      <c r="F24" s="177" t="e">
        <f t="shared" si="1"/>
        <v>#N/A</v>
      </c>
      <c r="G24" s="717" t="e">
        <f t="shared" si="2"/>
        <v>#N/A</v>
      </c>
      <c r="H24" s="718"/>
      <c r="I24" s="177">
        <v>0</v>
      </c>
      <c r="J24" s="178" t="e">
        <f>+G24*I24</f>
        <v>#N/A</v>
      </c>
      <c r="K24" s="149"/>
    </row>
    <row r="25" spans="2:12" ht="21.75" customHeight="1" x14ac:dyDescent="0.2">
      <c r="B25" s="176" t="s">
        <v>2000</v>
      </c>
      <c r="C25" s="737" t="e">
        <f t="shared" si="0"/>
        <v>#N/A</v>
      </c>
      <c r="D25" s="737"/>
      <c r="E25" s="737"/>
      <c r="F25" s="177" t="e">
        <f t="shared" si="1"/>
        <v>#N/A</v>
      </c>
      <c r="G25" s="717" t="e">
        <f t="shared" si="2"/>
        <v>#N/A</v>
      </c>
      <c r="H25" s="718"/>
      <c r="I25" s="177">
        <v>0</v>
      </c>
      <c r="J25" s="178" t="e">
        <f>+G25*I25</f>
        <v>#N/A</v>
      </c>
      <c r="K25" s="149"/>
    </row>
    <row r="26" spans="2:12" ht="21.75" customHeight="1" x14ac:dyDescent="0.2">
      <c r="B26" s="176" t="s">
        <v>1962</v>
      </c>
      <c r="C26" s="737" t="e">
        <f t="shared" si="0"/>
        <v>#N/A</v>
      </c>
      <c r="D26" s="737"/>
      <c r="E26" s="737"/>
      <c r="F26" s="177" t="e">
        <f t="shared" si="1"/>
        <v>#N/A</v>
      </c>
      <c r="G26" s="717" t="e">
        <f t="shared" si="2"/>
        <v>#N/A</v>
      </c>
      <c r="H26" s="718"/>
      <c r="I26" s="177">
        <v>0</v>
      </c>
      <c r="J26" s="178" t="e">
        <f t="shared" si="3"/>
        <v>#N/A</v>
      </c>
      <c r="K26" s="149"/>
    </row>
    <row r="27" spans="2:12" ht="19.95" hidden="1" customHeight="1" x14ac:dyDescent="0.2">
      <c r="B27" s="176" t="s">
        <v>2000</v>
      </c>
      <c r="C27" s="737" t="e">
        <f t="shared" si="0"/>
        <v>#N/A</v>
      </c>
      <c r="D27" s="737"/>
      <c r="E27" s="737"/>
      <c r="F27" s="177" t="e">
        <f t="shared" si="1"/>
        <v>#N/A</v>
      </c>
      <c r="G27" s="717" t="e">
        <f t="shared" si="2"/>
        <v>#N/A</v>
      </c>
      <c r="H27" s="718"/>
      <c r="I27" s="177">
        <v>0</v>
      </c>
      <c r="J27" s="178" t="e">
        <f>+G27*I27</f>
        <v>#N/A</v>
      </c>
      <c r="K27" s="149"/>
    </row>
    <row r="28" spans="2:12" ht="19.95" hidden="1" customHeight="1" x14ac:dyDescent="0.2">
      <c r="B28" s="176" t="s">
        <v>2049</v>
      </c>
      <c r="C28" s="737" t="e">
        <f t="shared" si="0"/>
        <v>#N/A</v>
      </c>
      <c r="D28" s="737"/>
      <c r="E28" s="737"/>
      <c r="F28" s="177" t="e">
        <f t="shared" si="1"/>
        <v>#N/A</v>
      </c>
      <c r="G28" s="717" t="e">
        <f t="shared" si="2"/>
        <v>#N/A</v>
      </c>
      <c r="H28" s="718"/>
      <c r="I28" s="177">
        <v>0</v>
      </c>
      <c r="J28" s="178" t="e">
        <f>+G28*I28</f>
        <v>#N/A</v>
      </c>
      <c r="K28" s="149"/>
    </row>
    <row r="29" spans="2:12" ht="16.95" customHeight="1" x14ac:dyDescent="0.25">
      <c r="B29" s="55"/>
      <c r="C29" s="55"/>
      <c r="D29" s="53"/>
      <c r="E29" s="53"/>
      <c r="F29" s="53"/>
      <c r="G29" s="719" t="s">
        <v>2515</v>
      </c>
      <c r="H29" s="719"/>
      <c r="I29" s="719"/>
      <c r="J29" s="163" t="e">
        <f>SUM(J18:J28)</f>
        <v>#N/A</v>
      </c>
      <c r="K29" s="52"/>
    </row>
    <row r="30" spans="2:12" ht="16.95" customHeight="1" x14ac:dyDescent="0.25">
      <c r="B30" s="55"/>
      <c r="C30" s="55"/>
      <c r="D30" s="53"/>
      <c r="E30" s="53"/>
      <c r="F30" s="53"/>
      <c r="G30" s="719" t="s">
        <v>2516</v>
      </c>
      <c r="H30" s="719"/>
      <c r="I30" s="719"/>
      <c r="J30" s="163" t="e">
        <f>+J29*0.18</f>
        <v>#N/A</v>
      </c>
      <c r="K30" s="52"/>
    </row>
    <row r="31" spans="2:12" ht="16.95" customHeight="1" x14ac:dyDescent="0.25">
      <c r="B31" s="55"/>
      <c r="C31" s="55"/>
      <c r="D31" s="53"/>
      <c r="E31" s="53"/>
      <c r="F31" s="53"/>
      <c r="G31" s="720" t="s">
        <v>2543</v>
      </c>
      <c r="H31" s="720"/>
      <c r="I31" s="720"/>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12" t="s">
        <v>2544</v>
      </c>
      <c r="C35" s="712"/>
      <c r="D35" s="712"/>
      <c r="E35" s="712"/>
      <c r="F35" s="712"/>
      <c r="G35" s="712"/>
      <c r="H35" s="712"/>
      <c r="I35" s="712"/>
      <c r="J35" s="712"/>
      <c r="K35" s="150"/>
    </row>
    <row r="36" spans="2:14" ht="33" customHeight="1" x14ac:dyDescent="0.2">
      <c r="B36" s="715" t="s">
        <v>2570</v>
      </c>
      <c r="C36" s="715"/>
      <c r="D36" s="715"/>
      <c r="E36" s="715"/>
      <c r="F36" s="715"/>
      <c r="G36" s="715"/>
      <c r="H36" s="715"/>
      <c r="I36" s="715"/>
      <c r="J36" s="715"/>
      <c r="K36" s="150"/>
    </row>
    <row r="37" spans="2:14" ht="16.5" customHeight="1" x14ac:dyDescent="0.2">
      <c r="B37" s="712" t="s">
        <v>2572</v>
      </c>
      <c r="C37" s="712"/>
      <c r="D37" s="712"/>
      <c r="E37" s="712"/>
      <c r="F37" s="712"/>
      <c r="G37" s="712"/>
      <c r="H37" s="712"/>
      <c r="I37" s="712"/>
      <c r="J37" s="712"/>
      <c r="K37" s="150"/>
    </row>
    <row r="38" spans="2:14" ht="32.4" customHeight="1" x14ac:dyDescent="0.2">
      <c r="B38" s="707" t="s">
        <v>2573</v>
      </c>
      <c r="C38" s="707"/>
      <c r="D38" s="707"/>
      <c r="E38" s="707"/>
      <c r="F38" s="707"/>
      <c r="G38" s="707"/>
      <c r="H38" s="707"/>
      <c r="I38" s="707"/>
      <c r="J38" s="707"/>
      <c r="K38" s="150"/>
    </row>
    <row r="39" spans="2:14" ht="30.75" customHeight="1" x14ac:dyDescent="0.2">
      <c r="B39" s="707" t="s">
        <v>2574</v>
      </c>
      <c r="C39" s="707"/>
      <c r="D39" s="707"/>
      <c r="E39" s="707"/>
      <c r="F39" s="707"/>
      <c r="G39" s="707"/>
      <c r="H39" s="707"/>
      <c r="I39" s="707"/>
      <c r="J39" s="707"/>
      <c r="K39" s="150"/>
    </row>
    <row r="40" spans="2:14" ht="30.75" customHeight="1" x14ac:dyDescent="0.2">
      <c r="B40" s="302"/>
      <c r="C40" s="302"/>
      <c r="D40" s="302"/>
      <c r="E40" s="302"/>
      <c r="F40" s="302"/>
      <c r="G40" s="302"/>
      <c r="H40" s="302"/>
      <c r="I40" s="302"/>
      <c r="J40" s="302"/>
      <c r="K40" s="150"/>
    </row>
    <row r="41" spans="2:14" ht="51.75" customHeight="1" x14ac:dyDescent="0.2">
      <c r="B41" s="710" t="s">
        <v>2643</v>
      </c>
      <c r="C41" s="710"/>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07" t="s">
        <v>2575</v>
      </c>
      <c r="C44" s="707"/>
      <c r="D44" s="707"/>
      <c r="E44" s="707"/>
      <c r="F44" s="707"/>
      <c r="G44" s="707"/>
      <c r="H44" s="707"/>
      <c r="I44" s="707"/>
      <c r="J44" s="707"/>
      <c r="K44" s="150"/>
      <c r="L44" s="90"/>
      <c r="M44" s="82"/>
      <c r="N44" s="83"/>
    </row>
    <row r="45" spans="2:14" ht="56.4" customHeight="1" x14ac:dyDescent="0.2">
      <c r="B45" s="707" t="s">
        <v>2576</v>
      </c>
      <c r="C45" s="707"/>
      <c r="D45" s="707"/>
      <c r="E45" s="707"/>
      <c r="F45" s="707"/>
      <c r="G45" s="707"/>
      <c r="H45" s="707"/>
      <c r="I45" s="707"/>
      <c r="J45" s="707"/>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07" t="s">
        <v>2647</v>
      </c>
      <c r="C47" s="707"/>
      <c r="D47" s="707"/>
      <c r="E47" s="707"/>
      <c r="F47" s="707"/>
      <c r="G47" s="707"/>
      <c r="H47" s="707"/>
      <c r="I47" s="707"/>
      <c r="J47" s="707"/>
      <c r="K47" s="150"/>
      <c r="M47" s="82"/>
      <c r="N47" s="83"/>
    </row>
    <row r="48" spans="2:14" ht="56.4" customHeight="1" x14ac:dyDescent="0.2">
      <c r="B48" s="707" t="s">
        <v>2648</v>
      </c>
      <c r="C48" s="707"/>
      <c r="D48" s="707"/>
      <c r="E48" s="707"/>
      <c r="F48" s="707"/>
      <c r="G48" s="707"/>
      <c r="H48" s="707"/>
      <c r="I48" s="707"/>
      <c r="J48" s="707"/>
      <c r="K48" s="150"/>
      <c r="M48" s="82"/>
      <c r="N48" s="83"/>
    </row>
    <row r="49" spans="2:21" ht="16.2" customHeight="1" x14ac:dyDescent="0.2">
      <c r="B49" s="51"/>
      <c r="C49" s="51"/>
      <c r="D49" s="51"/>
      <c r="E49" s="51"/>
      <c r="F49" s="51"/>
      <c r="G49" s="51"/>
      <c r="H49" s="51"/>
      <c r="I49" s="51"/>
      <c r="J49" s="51"/>
      <c r="K49" s="51"/>
    </row>
    <row r="50" spans="2:21" ht="16.2" customHeight="1" x14ac:dyDescent="0.2">
      <c r="B50" s="708"/>
      <c r="C50" s="708"/>
      <c r="D50" s="708"/>
      <c r="E50" s="708"/>
      <c r="F50" s="708"/>
      <c r="G50" s="708"/>
      <c r="H50" s="708"/>
      <c r="I50" s="708"/>
      <c r="J50" s="708"/>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09" t="s">
        <v>2588</v>
      </c>
      <c r="C63" s="709"/>
      <c r="D63" s="709"/>
      <c r="E63" s="709"/>
      <c r="F63" s="709"/>
      <c r="G63" s="709"/>
      <c r="H63" s="709"/>
      <c r="I63" s="709"/>
      <c r="J63" s="709"/>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10" t="s">
        <v>2649</v>
      </c>
      <c r="C75" s="710"/>
      <c r="I75" s="711" t="s">
        <v>2485</v>
      </c>
      <c r="J75" s="711"/>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 ref="G31:I31"/>
    <mergeCell ref="B35:J35"/>
    <mergeCell ref="C27:E27"/>
    <mergeCell ref="G27:H27"/>
    <mergeCell ref="C28:E28"/>
    <mergeCell ref="G28:H28"/>
    <mergeCell ref="G29:I29"/>
    <mergeCell ref="G30:I30"/>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21" t="str">
        <f>VLOOKUP(A18,SERVICIOENSAYOS,2,FALSE)</f>
        <v xml:space="preserve">Control de calidad del concreto fresco en obra:                                                                                                                                                                                                                                                                                                                                 * Muestreo de concreto fresco cant. 6 probetas                                                                                                                                                                                                                                                                                                                            * Ensayo asentamiento del concreto (Slump)                                                                                                                                                                                                                                                                                                                                * Control de temperatura en el concreto                                                                                                                                                                                                                                                                                                                                                 * Resistencia a la compresión </v>
      </c>
      <c r="C18" s="721"/>
      <c r="D18" s="721"/>
      <c r="E18" s="721"/>
      <c r="F18" s="721"/>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21" t="e">
        <f>VLOOKUP(A19,SERVICIOENSAYOS,2,FALSE)</f>
        <v>#N/A</v>
      </c>
      <c r="C19" s="721"/>
      <c r="D19" s="721"/>
      <c r="E19" s="721"/>
      <c r="F19" s="721"/>
      <c r="G19" s="111" t="e">
        <f t="shared" ref="G19:G26" si="2">+VLOOKUP(A19,SERVICIOENSAYOS,3,FALSE)</f>
        <v>#N/A</v>
      </c>
      <c r="H19" s="112" t="e">
        <f t="shared" si="0"/>
        <v>#N/A</v>
      </c>
      <c r="I19" s="116">
        <v>1</v>
      </c>
      <c r="J19" s="113" t="e">
        <f t="shared" si="1"/>
        <v>#N/A</v>
      </c>
    </row>
    <row r="20" spans="1:17" ht="17.25" customHeight="1" x14ac:dyDescent="0.2">
      <c r="A20" s="110" t="s">
        <v>1962</v>
      </c>
      <c r="B20" s="721" t="e">
        <f>VLOOKUP(A20,SERVICIOENSAYOS,2,FALSE)</f>
        <v>#N/A</v>
      </c>
      <c r="C20" s="721"/>
      <c r="D20" s="721"/>
      <c r="E20" s="721"/>
      <c r="F20" s="721"/>
      <c r="G20" s="111" t="e">
        <f t="shared" si="2"/>
        <v>#N/A</v>
      </c>
      <c r="H20" s="112" t="e">
        <f t="shared" si="0"/>
        <v>#N/A</v>
      </c>
      <c r="I20" s="116">
        <v>4</v>
      </c>
      <c r="J20" s="113" t="e">
        <f t="shared" si="1"/>
        <v>#N/A</v>
      </c>
    </row>
    <row r="21" spans="1:17" ht="17.25" customHeight="1" x14ac:dyDescent="0.2">
      <c r="A21" s="110" t="s">
        <v>2128</v>
      </c>
      <c r="B21" s="721" t="str">
        <f t="shared" ref="B21:B26" si="3">VLOOKUP(A21,SERVICIOENSAYOS,2,FALSE)</f>
        <v>Análisis granulométrico por tamizado en agregado</v>
      </c>
      <c r="C21" s="721"/>
      <c r="D21" s="721"/>
      <c r="E21" s="721"/>
      <c r="F21" s="721"/>
      <c r="G21" s="111" t="str">
        <f t="shared" si="2"/>
        <v>ASTM C136/C136M-19</v>
      </c>
      <c r="H21" s="112" t="str">
        <f t="shared" si="0"/>
        <v>-</v>
      </c>
      <c r="I21" s="116">
        <v>2</v>
      </c>
      <c r="J21" s="113" t="e">
        <f t="shared" si="1"/>
        <v>#VALUE!</v>
      </c>
    </row>
    <row r="22" spans="1:17" ht="17.25" customHeight="1" x14ac:dyDescent="0.2">
      <c r="A22" s="110" t="s">
        <v>2131</v>
      </c>
      <c r="B22" s="721" t="str">
        <f t="shared" si="3"/>
        <v>Contenido de humedad  en agregado</v>
      </c>
      <c r="C22" s="721"/>
      <c r="D22" s="721"/>
      <c r="E22" s="721"/>
      <c r="F22" s="721"/>
      <c r="G22" s="111" t="str">
        <f t="shared" si="2"/>
        <v>ASTM C566-19</v>
      </c>
      <c r="H22" s="112" t="str">
        <f t="shared" si="0"/>
        <v>-</v>
      </c>
      <c r="I22" s="116">
        <v>2</v>
      </c>
      <c r="J22" s="113" t="e">
        <f t="shared" si="1"/>
        <v>#VALUE!</v>
      </c>
    </row>
    <row r="23" spans="1:17" ht="17.25" customHeight="1" x14ac:dyDescent="0.2">
      <c r="A23" s="110" t="s">
        <v>1969</v>
      </c>
      <c r="B23" s="721" t="e">
        <f t="shared" si="3"/>
        <v>#N/A</v>
      </c>
      <c r="C23" s="721"/>
      <c r="D23" s="721"/>
      <c r="E23" s="721"/>
      <c r="F23" s="721"/>
      <c r="G23" s="111" t="e">
        <f t="shared" si="2"/>
        <v>#N/A</v>
      </c>
      <c r="H23" s="112" t="e">
        <f t="shared" si="0"/>
        <v>#N/A</v>
      </c>
      <c r="I23" s="116">
        <v>1</v>
      </c>
      <c r="J23" s="113" t="e">
        <f t="shared" si="1"/>
        <v>#N/A</v>
      </c>
    </row>
    <row r="24" spans="1:17" ht="17.25" customHeight="1" x14ac:dyDescent="0.2">
      <c r="A24" s="110" t="s">
        <v>2011</v>
      </c>
      <c r="B24" s="721" t="e">
        <f t="shared" si="3"/>
        <v>#N/A</v>
      </c>
      <c r="C24" s="721"/>
      <c r="D24" s="721"/>
      <c r="E24" s="721"/>
      <c r="F24" s="721"/>
      <c r="G24" s="111" t="e">
        <f t="shared" si="2"/>
        <v>#N/A</v>
      </c>
      <c r="H24" s="112" t="e">
        <f t="shared" si="0"/>
        <v>#N/A</v>
      </c>
      <c r="I24" s="116">
        <v>1</v>
      </c>
      <c r="J24" s="113" t="e">
        <f t="shared" si="1"/>
        <v>#N/A</v>
      </c>
    </row>
    <row r="25" spans="1:17" ht="17.25" customHeight="1" x14ac:dyDescent="0.2">
      <c r="A25" s="110" t="s">
        <v>2086</v>
      </c>
      <c r="B25" s="721" t="e">
        <f t="shared" si="3"/>
        <v>#N/A</v>
      </c>
      <c r="C25" s="721"/>
      <c r="D25" s="721"/>
      <c r="E25" s="721"/>
      <c r="F25" s="721"/>
      <c r="G25" s="111" t="e">
        <f t="shared" si="2"/>
        <v>#N/A</v>
      </c>
      <c r="H25" s="112" t="e">
        <f t="shared" si="0"/>
        <v>#N/A</v>
      </c>
      <c r="I25" s="116">
        <v>1</v>
      </c>
      <c r="J25" s="113" t="e">
        <f t="shared" si="1"/>
        <v>#N/A</v>
      </c>
    </row>
    <row r="26" spans="1:17" ht="17.25" customHeight="1" x14ac:dyDescent="0.2">
      <c r="A26" s="110" t="s">
        <v>1978</v>
      </c>
      <c r="B26" s="721" t="e">
        <f t="shared" si="3"/>
        <v>#N/A</v>
      </c>
      <c r="C26" s="721"/>
      <c r="D26" s="721"/>
      <c r="E26" s="721"/>
      <c r="F26" s="721"/>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21" t="e">
        <f t="shared" ref="B28:B33" si="4">VLOOKUP(A28,SERVICIOENSAYOS,2,FALSE)</f>
        <v>#N/A</v>
      </c>
      <c r="C28" s="721"/>
      <c r="D28" s="721"/>
      <c r="E28" s="721"/>
      <c r="F28" s="721"/>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21" t="e">
        <f t="shared" si="4"/>
        <v>#N/A</v>
      </c>
      <c r="C29" s="721"/>
      <c r="D29" s="721"/>
      <c r="E29" s="721"/>
      <c r="F29" s="721"/>
      <c r="G29" s="111" t="e">
        <f t="shared" si="5"/>
        <v>#N/A</v>
      </c>
      <c r="H29" s="112" t="e">
        <f t="shared" si="6"/>
        <v>#N/A</v>
      </c>
      <c r="I29" s="116">
        <v>2</v>
      </c>
      <c r="J29" s="113" t="e">
        <f t="shared" si="1"/>
        <v>#N/A</v>
      </c>
    </row>
    <row r="30" spans="1:17" ht="17.25" customHeight="1" x14ac:dyDescent="0.2">
      <c r="A30" s="110" t="s">
        <v>2110</v>
      </c>
      <c r="B30" s="721" t="str">
        <f t="shared" si="4"/>
        <v>Contenido Sales solubles, fino o grueso.</v>
      </c>
      <c r="C30" s="721"/>
      <c r="D30" s="721"/>
      <c r="E30" s="721"/>
      <c r="F30" s="721"/>
      <c r="G30" s="111" t="str">
        <f t="shared" si="5"/>
        <v>MTC E-219</v>
      </c>
      <c r="H30" s="112" t="str">
        <f t="shared" si="6"/>
        <v>MTC E-219</v>
      </c>
      <c r="I30" s="116">
        <v>2</v>
      </c>
      <c r="J30" s="113" t="e">
        <f t="shared" si="1"/>
        <v>#VALUE!</v>
      </c>
    </row>
    <row r="31" spans="1:17" ht="17.25" customHeight="1" x14ac:dyDescent="0.2">
      <c r="A31" s="110" t="s">
        <v>2098</v>
      </c>
      <c r="B31" s="721" t="e">
        <f t="shared" si="4"/>
        <v>#N/A</v>
      </c>
      <c r="C31" s="721"/>
      <c r="D31" s="721"/>
      <c r="E31" s="721"/>
      <c r="F31" s="721"/>
      <c r="G31" s="111" t="e">
        <f t="shared" si="5"/>
        <v>#N/A</v>
      </c>
      <c r="H31" s="112" t="e">
        <f t="shared" si="6"/>
        <v>#N/A</v>
      </c>
      <c r="I31" s="116">
        <v>1</v>
      </c>
      <c r="J31" s="113" t="e">
        <f t="shared" si="1"/>
        <v>#N/A</v>
      </c>
    </row>
    <row r="32" spans="1:17" ht="17.25" customHeight="1" x14ac:dyDescent="0.2">
      <c r="A32" s="110" t="s">
        <v>2101</v>
      </c>
      <c r="B32" s="721" t="e">
        <f t="shared" si="4"/>
        <v>#N/A</v>
      </c>
      <c r="C32" s="721"/>
      <c r="D32" s="721"/>
      <c r="E32" s="721"/>
      <c r="F32" s="721"/>
      <c r="G32" s="111" t="e">
        <f t="shared" si="5"/>
        <v>#N/A</v>
      </c>
      <c r="H32" s="112" t="e">
        <f t="shared" si="6"/>
        <v>#N/A</v>
      </c>
      <c r="I32" s="116">
        <v>1</v>
      </c>
      <c r="J32" s="113" t="e">
        <f t="shared" si="1"/>
        <v>#N/A</v>
      </c>
    </row>
    <row r="33" spans="1:11" ht="17.25" customHeight="1" x14ac:dyDescent="0.2">
      <c r="A33" s="110" t="s">
        <v>2105</v>
      </c>
      <c r="B33" s="721" t="e">
        <f t="shared" si="4"/>
        <v>#N/A</v>
      </c>
      <c r="C33" s="721"/>
      <c r="D33" s="721"/>
      <c r="E33" s="721"/>
      <c r="F33" s="721"/>
      <c r="G33" s="111" t="e">
        <f t="shared" si="5"/>
        <v>#N/A</v>
      </c>
      <c r="H33" s="112" t="e">
        <f t="shared" si="6"/>
        <v>#N/A</v>
      </c>
      <c r="I33" s="116">
        <v>1</v>
      </c>
      <c r="J33" s="113" t="e">
        <f t="shared" si="1"/>
        <v>#N/A</v>
      </c>
    </row>
    <row r="34" spans="1:11" ht="17.25" customHeight="1" x14ac:dyDescent="0.2">
      <c r="A34" s="110"/>
      <c r="B34" s="721"/>
      <c r="C34" s="721"/>
      <c r="D34" s="721"/>
      <c r="E34" s="721"/>
      <c r="F34" s="721"/>
      <c r="G34" s="111"/>
      <c r="H34" s="112"/>
      <c r="I34" s="116"/>
      <c r="J34" s="113">
        <f t="shared" si="1"/>
        <v>0</v>
      </c>
    </row>
    <row r="35" spans="1:11" ht="17.25" customHeight="1" x14ac:dyDescent="0.2">
      <c r="A35" s="110"/>
      <c r="B35" s="721"/>
      <c r="C35" s="721"/>
      <c r="D35" s="721"/>
      <c r="E35" s="721"/>
      <c r="F35" s="721"/>
      <c r="G35" s="111"/>
      <c r="H35" s="112"/>
      <c r="I35" s="116"/>
      <c r="J35" s="113">
        <f t="shared" si="1"/>
        <v>0</v>
      </c>
    </row>
    <row r="36" spans="1:11" ht="17.25" customHeight="1" x14ac:dyDescent="0.2">
      <c r="A36" s="110"/>
      <c r="B36" s="721" t="s">
        <v>2779</v>
      </c>
      <c r="C36" s="721"/>
      <c r="D36" s="721"/>
      <c r="E36" s="721"/>
      <c r="F36" s="721"/>
      <c r="G36" s="111"/>
      <c r="H36" s="112"/>
      <c r="I36" s="116"/>
      <c r="J36" s="113"/>
    </row>
    <row r="37" spans="1:11" ht="17.25" customHeight="1" x14ac:dyDescent="0.2">
      <c r="A37" s="110" t="s">
        <v>2023</v>
      </c>
      <c r="B37" s="721" t="e">
        <f t="shared" ref="B37:B42" si="7">VLOOKUP(A37,SERVICIOENSAYOS,2,FALSE)</f>
        <v>#N/A</v>
      </c>
      <c r="C37" s="721"/>
      <c r="D37" s="721"/>
      <c r="E37" s="721"/>
      <c r="F37" s="721"/>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21" t="e">
        <f t="shared" si="7"/>
        <v>#N/A</v>
      </c>
      <c r="C38" s="721"/>
      <c r="D38" s="721"/>
      <c r="E38" s="721"/>
      <c r="F38" s="721"/>
      <c r="G38" s="111" t="e">
        <f t="shared" si="8"/>
        <v>#N/A</v>
      </c>
      <c r="H38" s="112" t="e">
        <f t="shared" si="9"/>
        <v>#N/A</v>
      </c>
      <c r="I38" s="116">
        <v>2</v>
      </c>
      <c r="J38" s="113" t="e">
        <f t="shared" si="1"/>
        <v>#N/A</v>
      </c>
    </row>
    <row r="39" spans="1:11" ht="17.25" customHeight="1" x14ac:dyDescent="0.2">
      <c r="A39" s="110" t="s">
        <v>2110</v>
      </c>
      <c r="B39" s="721" t="str">
        <f t="shared" si="7"/>
        <v>Contenido Sales solubles, fino o grueso.</v>
      </c>
      <c r="C39" s="721"/>
      <c r="D39" s="721"/>
      <c r="E39" s="721"/>
      <c r="F39" s="721"/>
      <c r="G39" s="111" t="str">
        <f t="shared" si="8"/>
        <v>MTC E-219</v>
      </c>
      <c r="H39" s="112" t="str">
        <f t="shared" si="9"/>
        <v>MTC E-219</v>
      </c>
      <c r="I39" s="116">
        <v>2</v>
      </c>
      <c r="J39" s="113" t="e">
        <f t="shared" si="1"/>
        <v>#VALUE!</v>
      </c>
    </row>
    <row r="40" spans="1:11" ht="17.25" customHeight="1" x14ac:dyDescent="0.2">
      <c r="A40" s="110" t="s">
        <v>2105</v>
      </c>
      <c r="B40" s="721" t="e">
        <f t="shared" si="7"/>
        <v>#N/A</v>
      </c>
      <c r="C40" s="721"/>
      <c r="D40" s="721"/>
      <c r="E40" s="721"/>
      <c r="F40" s="721"/>
      <c r="G40" s="111" t="e">
        <f t="shared" si="8"/>
        <v>#N/A</v>
      </c>
      <c r="H40" s="112" t="e">
        <f t="shared" si="9"/>
        <v>#N/A</v>
      </c>
      <c r="I40" s="116">
        <v>2</v>
      </c>
      <c r="J40" s="113" t="e">
        <f t="shared" si="1"/>
        <v>#N/A</v>
      </c>
    </row>
    <row r="41" spans="1:11" ht="17.25" customHeight="1" x14ac:dyDescent="0.2">
      <c r="A41" s="110"/>
      <c r="B41" s="721" t="e">
        <f>VLOOKUP(A41,SERVICIOENSAYOS,2,FALSE)</f>
        <v>#N/A</v>
      </c>
      <c r="C41" s="721"/>
      <c r="D41" s="721"/>
      <c r="E41" s="721"/>
      <c r="F41" s="721"/>
      <c r="G41" s="111" t="e">
        <f>+VLOOKUP(A41,SERVICIOENSAYOS,3,FALSE)</f>
        <v>#N/A</v>
      </c>
      <c r="H41" s="112" t="e">
        <f t="shared" si="9"/>
        <v>#N/A</v>
      </c>
      <c r="I41" s="116">
        <v>0</v>
      </c>
      <c r="J41" s="113" t="e">
        <f t="shared" si="1"/>
        <v>#N/A</v>
      </c>
    </row>
    <row r="42" spans="1:11" ht="17.25" customHeight="1" x14ac:dyDescent="0.2">
      <c r="A42" s="110"/>
      <c r="B42" s="721" t="e">
        <f t="shared" si="7"/>
        <v>#N/A</v>
      </c>
      <c r="C42" s="721"/>
      <c r="D42" s="721"/>
      <c r="E42" s="721"/>
      <c r="F42" s="721"/>
      <c r="G42" s="111" t="e">
        <f t="shared" si="8"/>
        <v>#N/A</v>
      </c>
      <c r="H42" s="112" t="e">
        <f t="shared" si="9"/>
        <v>#N/A</v>
      </c>
      <c r="I42" s="111">
        <v>0</v>
      </c>
      <c r="J42" s="113" t="e">
        <f t="shared" si="1"/>
        <v>#N/A</v>
      </c>
    </row>
    <row r="43" spans="1:11" ht="17.25" customHeight="1" x14ac:dyDescent="0.2">
      <c r="A43" s="110"/>
      <c r="B43" s="721" t="e">
        <f>VLOOKUP(A43,SERVICIOENSAYOS,2,FALSE)</f>
        <v>#N/A</v>
      </c>
      <c r="C43" s="721"/>
      <c r="D43" s="721"/>
      <c r="E43" s="721"/>
      <c r="F43" s="721"/>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 ref="B43:F43"/>
    <mergeCell ref="B33:F33"/>
    <mergeCell ref="B37:F37"/>
    <mergeCell ref="B38:F38"/>
    <mergeCell ref="B39:F39"/>
    <mergeCell ref="B36:F36"/>
    <mergeCell ref="B40:F40"/>
    <mergeCell ref="B41:F41"/>
    <mergeCell ref="B42:F42"/>
    <mergeCell ref="B35:F35"/>
    <mergeCell ref="B21:F21"/>
    <mergeCell ref="B20:F20"/>
    <mergeCell ref="B18:F18"/>
    <mergeCell ref="B19:F19"/>
    <mergeCell ref="B34:F34"/>
    <mergeCell ref="B23:F23"/>
    <mergeCell ref="B22:F22"/>
    <mergeCell ref="B24:F24"/>
    <mergeCell ref="B25:F25"/>
    <mergeCell ref="B26:F26"/>
    <mergeCell ref="B31:F31"/>
    <mergeCell ref="B32:F32"/>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30">
        <v>71</v>
      </c>
      <c r="B6" s="730"/>
      <c r="C6" s="730"/>
      <c r="D6" s="730"/>
      <c r="E6" s="730"/>
      <c r="F6" s="730"/>
      <c r="G6" s="730"/>
      <c r="H6" s="730"/>
      <c r="I6" s="730"/>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55" t="s">
        <v>2593</v>
      </c>
      <c r="C15" s="755"/>
      <c r="D15" s="755"/>
      <c r="E15" s="755"/>
      <c r="F15" s="755"/>
      <c r="G15" s="175" t="s">
        <v>2776</v>
      </c>
      <c r="H15" s="314" t="s">
        <v>2796</v>
      </c>
      <c r="I15" s="175" t="s">
        <v>2777</v>
      </c>
    </row>
    <row r="16" spans="1:11" ht="27.75" customHeight="1" x14ac:dyDescent="0.2">
      <c r="A16" s="314">
        <v>1</v>
      </c>
      <c r="B16" s="756" t="s">
        <v>2797</v>
      </c>
      <c r="C16" s="757"/>
      <c r="D16" s="757"/>
      <c r="E16" s="757"/>
      <c r="F16" s="758"/>
      <c r="G16" s="140">
        <v>1500</v>
      </c>
      <c r="H16" s="140">
        <v>1</v>
      </c>
      <c r="I16" s="117">
        <f>+G16*H16</f>
        <v>1500</v>
      </c>
    </row>
    <row r="17" spans="1:16" ht="12.75" customHeight="1" x14ac:dyDescent="0.2">
      <c r="A17" s="124"/>
      <c r="B17" s="759" t="s">
        <v>2798</v>
      </c>
      <c r="C17" s="760"/>
      <c r="D17" s="760"/>
      <c r="E17" s="761"/>
      <c r="F17" s="229">
        <v>1</v>
      </c>
      <c r="G17" s="58"/>
      <c r="H17" s="58"/>
      <c r="I17" s="58"/>
      <c r="O17" s="61">
        <f>500*26</f>
        <v>13000</v>
      </c>
      <c r="P17" s="61">
        <f>+O17*10</f>
        <v>130000</v>
      </c>
    </row>
    <row r="18" spans="1:16" ht="12.75" customHeight="1" x14ac:dyDescent="0.2">
      <c r="A18" s="124"/>
      <c r="B18" s="759" t="s">
        <v>2799</v>
      </c>
      <c r="C18" s="760"/>
      <c r="D18" s="760"/>
      <c r="E18" s="761"/>
      <c r="F18" s="229">
        <v>1</v>
      </c>
      <c r="G18" s="140"/>
      <c r="H18" s="58"/>
      <c r="I18" s="117"/>
    </row>
    <row r="19" spans="1:16" ht="12.75" customHeight="1" x14ac:dyDescent="0.2">
      <c r="A19" s="124"/>
      <c r="B19" s="759" t="s">
        <v>2800</v>
      </c>
      <c r="C19" s="760"/>
      <c r="D19" s="760"/>
      <c r="E19" s="761"/>
      <c r="F19" s="229">
        <v>1</v>
      </c>
      <c r="G19" s="140"/>
      <c r="H19" s="58"/>
      <c r="I19" s="117"/>
    </row>
    <row r="20" spans="1:16" ht="12.75" customHeight="1" x14ac:dyDescent="0.2">
      <c r="A20" s="124"/>
      <c r="B20" s="759" t="s">
        <v>2801</v>
      </c>
      <c r="C20" s="760"/>
      <c r="D20" s="760"/>
      <c r="E20" s="761"/>
      <c r="F20" s="229" t="s">
        <v>2802</v>
      </c>
      <c r="G20" s="140"/>
      <c r="H20" s="58"/>
      <c r="I20" s="117"/>
    </row>
    <row r="21" spans="1:16" ht="12.75" customHeight="1" x14ac:dyDescent="0.2">
      <c r="A21" s="124"/>
      <c r="B21" s="759" t="s">
        <v>2803</v>
      </c>
      <c r="C21" s="760"/>
      <c r="D21" s="760"/>
      <c r="E21" s="761"/>
      <c r="F21" s="229">
        <v>2</v>
      </c>
      <c r="G21" s="140"/>
      <c r="H21" s="58"/>
      <c r="I21" s="228"/>
    </row>
    <row r="22" spans="1:16" ht="12.75" customHeight="1" x14ac:dyDescent="0.2">
      <c r="A22" s="124"/>
      <c r="B22" s="759" t="s">
        <v>2804</v>
      </c>
      <c r="C22" s="760"/>
      <c r="D22" s="760"/>
      <c r="E22" s="761"/>
      <c r="F22" s="229">
        <v>10</v>
      </c>
      <c r="G22" s="140"/>
      <c r="H22" s="58"/>
      <c r="I22" s="117"/>
    </row>
    <row r="23" spans="1:16" ht="12.75" customHeight="1" x14ac:dyDescent="0.2">
      <c r="A23" s="124"/>
      <c r="B23" s="759" t="s">
        <v>2805</v>
      </c>
      <c r="C23" s="760"/>
      <c r="D23" s="760"/>
      <c r="E23" s="761"/>
      <c r="F23" s="229">
        <v>1</v>
      </c>
      <c r="G23" s="140"/>
      <c r="H23" s="58"/>
      <c r="I23" s="117"/>
    </row>
    <row r="24" spans="1:16" ht="12.75" customHeight="1" x14ac:dyDescent="0.2">
      <c r="A24" s="124"/>
      <c r="B24" s="759" t="s">
        <v>2806</v>
      </c>
      <c r="C24" s="760"/>
      <c r="D24" s="760"/>
      <c r="E24" s="761"/>
      <c r="F24" s="229">
        <v>1</v>
      </c>
      <c r="G24" s="140"/>
      <c r="H24" s="58"/>
      <c r="I24" s="117"/>
    </row>
    <row r="25" spans="1:16" ht="12.75" customHeight="1" x14ac:dyDescent="0.2">
      <c r="A25" s="124"/>
      <c r="B25" s="759" t="s">
        <v>2807</v>
      </c>
      <c r="C25" s="760"/>
      <c r="D25" s="760"/>
      <c r="E25" s="761"/>
      <c r="F25" s="229">
        <v>1</v>
      </c>
      <c r="G25" s="140"/>
      <c r="H25" s="58"/>
      <c r="I25" s="117"/>
    </row>
    <row r="26" spans="1:16" ht="12.75" customHeight="1" x14ac:dyDescent="0.2">
      <c r="A26" s="124"/>
      <c r="B26" s="759" t="s">
        <v>2808</v>
      </c>
      <c r="C26" s="760"/>
      <c r="D26" s="760"/>
      <c r="E26" s="761"/>
      <c r="F26" s="229">
        <v>1</v>
      </c>
      <c r="G26" s="140"/>
      <c r="H26" s="58"/>
      <c r="I26" s="117"/>
    </row>
    <row r="27" spans="1:16" ht="12.75" customHeight="1" x14ac:dyDescent="0.2">
      <c r="A27" s="124"/>
      <c r="B27" s="759" t="s">
        <v>2809</v>
      </c>
      <c r="C27" s="760"/>
      <c r="D27" s="760"/>
      <c r="E27" s="761"/>
      <c r="F27" s="229">
        <v>2</v>
      </c>
      <c r="G27" s="140"/>
      <c r="H27" s="58"/>
      <c r="I27" s="117"/>
    </row>
    <row r="28" spans="1:16" ht="12.75" customHeight="1" x14ac:dyDescent="0.2">
      <c r="A28" s="124"/>
      <c r="B28" s="759" t="s">
        <v>2810</v>
      </c>
      <c r="C28" s="760"/>
      <c r="D28" s="760"/>
      <c r="E28" s="761"/>
      <c r="F28" s="229">
        <v>1</v>
      </c>
      <c r="G28" s="140"/>
      <c r="H28" s="58"/>
      <c r="I28" s="117"/>
    </row>
    <row r="29" spans="1:16" ht="12.75" customHeight="1" x14ac:dyDescent="0.2">
      <c r="A29" s="124"/>
      <c r="B29" s="759" t="s">
        <v>2811</v>
      </c>
      <c r="C29" s="760"/>
      <c r="D29" s="760"/>
      <c r="E29" s="761"/>
      <c r="F29" s="229">
        <v>1</v>
      </c>
      <c r="G29" s="140"/>
      <c r="H29" s="58"/>
      <c r="I29" s="117"/>
    </row>
    <row r="30" spans="1:16" ht="12.75" customHeight="1" x14ac:dyDescent="0.2">
      <c r="A30" s="124"/>
      <c r="B30" s="759" t="s">
        <v>2812</v>
      </c>
      <c r="C30" s="760"/>
      <c r="D30" s="760"/>
      <c r="E30" s="761"/>
      <c r="F30" s="229">
        <v>1</v>
      </c>
      <c r="G30" s="140"/>
      <c r="H30" s="58"/>
      <c r="I30" s="117"/>
    </row>
    <row r="31" spans="1:16" ht="12.75" customHeight="1" x14ac:dyDescent="0.2">
      <c r="A31" s="124"/>
      <c r="B31" s="759" t="s">
        <v>2813</v>
      </c>
      <c r="C31" s="760"/>
      <c r="D31" s="760"/>
      <c r="E31" s="761"/>
      <c r="F31" s="229">
        <v>1</v>
      </c>
      <c r="G31" s="140"/>
      <c r="H31" s="58"/>
      <c r="I31" s="117"/>
    </row>
    <row r="32" spans="1:16" ht="12.75" customHeight="1" x14ac:dyDescent="0.2">
      <c r="A32" s="124"/>
      <c r="B32" s="759" t="s">
        <v>2814</v>
      </c>
      <c r="C32" s="760"/>
      <c r="D32" s="760"/>
      <c r="E32" s="761"/>
      <c r="F32" s="229">
        <v>1</v>
      </c>
      <c r="G32" s="140"/>
      <c r="H32" s="58"/>
      <c r="I32" s="117"/>
    </row>
    <row r="33" spans="1:9" ht="12.75" customHeight="1" x14ac:dyDescent="0.2">
      <c r="A33" s="124"/>
      <c r="B33" s="759" t="s">
        <v>2815</v>
      </c>
      <c r="C33" s="760"/>
      <c r="D33" s="760"/>
      <c r="E33" s="761"/>
      <c r="F33" s="229">
        <v>1</v>
      </c>
      <c r="G33" s="140"/>
      <c r="H33" s="58"/>
      <c r="I33" s="117"/>
    </row>
    <row r="34" spans="1:9" ht="12.75" customHeight="1" x14ac:dyDescent="0.2">
      <c r="A34" s="124"/>
      <c r="B34" s="759" t="s">
        <v>2816</v>
      </c>
      <c r="C34" s="760"/>
      <c r="D34" s="760"/>
      <c r="E34" s="761"/>
      <c r="F34" s="229">
        <v>1</v>
      </c>
      <c r="G34" s="140"/>
      <c r="H34" s="58"/>
      <c r="I34" s="117"/>
    </row>
    <row r="35" spans="1:9" ht="25.5" customHeight="1" x14ac:dyDescent="0.2">
      <c r="A35" s="124">
        <v>2</v>
      </c>
      <c r="B35" s="756" t="s">
        <v>2817</v>
      </c>
      <c r="C35" s="757"/>
      <c r="D35" s="757"/>
      <c r="E35" s="757"/>
      <c r="F35" s="758"/>
      <c r="G35" s="140">
        <v>950</v>
      </c>
      <c r="H35" s="140">
        <v>1</v>
      </c>
      <c r="I35" s="117">
        <f>+G35*H35</f>
        <v>950</v>
      </c>
    </row>
    <row r="36" spans="1:9" ht="15" customHeight="1" x14ac:dyDescent="0.2">
      <c r="A36" s="124"/>
      <c r="B36" s="759" t="s">
        <v>2818</v>
      </c>
      <c r="C36" s="760"/>
      <c r="D36" s="760"/>
      <c r="E36" s="761"/>
      <c r="F36" s="229">
        <v>1</v>
      </c>
      <c r="G36" s="140"/>
      <c r="H36" s="116"/>
      <c r="I36" s="117"/>
    </row>
    <row r="37" spans="1:9" ht="15" customHeight="1" x14ac:dyDescent="0.2">
      <c r="A37" s="124"/>
      <c r="B37" s="759" t="s">
        <v>2819</v>
      </c>
      <c r="C37" s="760"/>
      <c r="D37" s="760"/>
      <c r="E37" s="761"/>
      <c r="F37" s="229">
        <v>1</v>
      </c>
      <c r="G37" s="140"/>
      <c r="H37" s="116"/>
      <c r="I37" s="117"/>
    </row>
    <row r="38" spans="1:9" ht="15" customHeight="1" x14ac:dyDescent="0.2">
      <c r="A38" s="124"/>
      <c r="B38" s="759" t="s">
        <v>2820</v>
      </c>
      <c r="C38" s="760"/>
      <c r="D38" s="760"/>
      <c r="E38" s="761"/>
      <c r="F38" s="229">
        <v>1</v>
      </c>
      <c r="G38" s="140"/>
      <c r="H38" s="116"/>
      <c r="I38" s="117"/>
    </row>
    <row r="39" spans="1:9" ht="15" customHeight="1" x14ac:dyDescent="0.2">
      <c r="A39" s="124"/>
      <c r="B39" s="759" t="s">
        <v>2821</v>
      </c>
      <c r="C39" s="760"/>
      <c r="D39" s="760"/>
      <c r="E39" s="761"/>
      <c r="F39" s="229">
        <v>6</v>
      </c>
      <c r="G39" s="140"/>
      <c r="H39" s="116"/>
      <c r="I39" s="117"/>
    </row>
    <row r="40" spans="1:9" ht="15" customHeight="1" x14ac:dyDescent="0.2">
      <c r="A40" s="124"/>
      <c r="B40" s="759" t="s">
        <v>2822</v>
      </c>
      <c r="C40" s="760"/>
      <c r="D40" s="760"/>
      <c r="E40" s="761"/>
      <c r="F40" s="229">
        <v>1</v>
      </c>
      <c r="G40" s="140"/>
      <c r="H40" s="116"/>
      <c r="I40" s="117"/>
    </row>
    <row r="41" spans="1:9" ht="15" customHeight="1" x14ac:dyDescent="0.2">
      <c r="A41" s="124"/>
      <c r="B41" s="759" t="s">
        <v>2823</v>
      </c>
      <c r="C41" s="760"/>
      <c r="D41" s="760"/>
      <c r="E41" s="761"/>
      <c r="F41" s="229">
        <v>1</v>
      </c>
      <c r="G41" s="140"/>
      <c r="H41" s="116"/>
      <c r="I41" s="117"/>
    </row>
    <row r="42" spans="1:9" ht="15" customHeight="1" x14ac:dyDescent="0.2">
      <c r="A42" s="124"/>
      <c r="B42" s="759" t="s">
        <v>2824</v>
      </c>
      <c r="C42" s="760"/>
      <c r="D42" s="760"/>
      <c r="E42" s="761"/>
      <c r="F42" s="229">
        <v>1</v>
      </c>
      <c r="G42" s="140"/>
      <c r="H42" s="116"/>
      <c r="I42" s="117"/>
    </row>
    <row r="43" spans="1:9" ht="15" customHeight="1" x14ac:dyDescent="0.2">
      <c r="A43" s="124"/>
      <c r="B43" s="759" t="s">
        <v>2825</v>
      </c>
      <c r="C43" s="760"/>
      <c r="D43" s="760"/>
      <c r="E43" s="761"/>
      <c r="F43" s="229">
        <v>1</v>
      </c>
      <c r="G43" s="140"/>
      <c r="H43" s="116"/>
      <c r="I43" s="117"/>
    </row>
    <row r="44" spans="1:9" ht="15" customHeight="1" x14ac:dyDescent="0.2">
      <c r="A44" s="124"/>
      <c r="B44" s="759" t="s">
        <v>2826</v>
      </c>
      <c r="C44" s="760"/>
      <c r="D44" s="760"/>
      <c r="E44" s="761"/>
      <c r="F44" s="229">
        <v>1</v>
      </c>
      <c r="G44" s="140"/>
      <c r="H44" s="116"/>
      <c r="I44" s="117"/>
    </row>
    <row r="45" spans="1:9" ht="15" customHeight="1" x14ac:dyDescent="0.2">
      <c r="A45" s="124"/>
      <c r="B45" s="759" t="s">
        <v>2827</v>
      </c>
      <c r="C45" s="760"/>
      <c r="D45" s="760"/>
      <c r="E45" s="761"/>
      <c r="F45" s="229">
        <v>1</v>
      </c>
      <c r="G45" s="140"/>
      <c r="H45" s="116"/>
      <c r="I45" s="117"/>
    </row>
    <row r="46" spans="1:9" ht="20.25" customHeight="1" x14ac:dyDescent="0.2">
      <c r="A46" s="124">
        <v>3</v>
      </c>
      <c r="B46" s="756" t="s">
        <v>2828</v>
      </c>
      <c r="C46" s="757"/>
      <c r="D46" s="757"/>
      <c r="E46" s="757"/>
      <c r="F46" s="758"/>
      <c r="G46" s="140">
        <v>1100</v>
      </c>
      <c r="H46" s="140">
        <v>1</v>
      </c>
      <c r="I46" s="117">
        <f>+G46*H46</f>
        <v>1100</v>
      </c>
    </row>
    <row r="47" spans="1:9" ht="14.25" customHeight="1" x14ac:dyDescent="0.2">
      <c r="A47" s="124"/>
      <c r="B47" s="759" t="s">
        <v>2829</v>
      </c>
      <c r="C47" s="760"/>
      <c r="D47" s="760"/>
      <c r="E47" s="761"/>
      <c r="F47" s="229">
        <v>1</v>
      </c>
      <c r="G47" s="140"/>
      <c r="H47" s="116"/>
      <c r="I47" s="117"/>
    </row>
    <row r="48" spans="1:9" ht="14.25" customHeight="1" x14ac:dyDescent="0.2">
      <c r="A48" s="124"/>
      <c r="B48" s="759" t="s">
        <v>2830</v>
      </c>
      <c r="C48" s="760"/>
      <c r="D48" s="760"/>
      <c r="E48" s="761"/>
      <c r="F48" s="229">
        <v>1</v>
      </c>
      <c r="G48" s="140"/>
      <c r="H48" s="116"/>
      <c r="I48" s="117"/>
    </row>
    <row r="49" spans="1:19" ht="14.25" customHeight="1" x14ac:dyDescent="0.2">
      <c r="A49" s="124"/>
      <c r="B49" s="759" t="s">
        <v>2831</v>
      </c>
      <c r="C49" s="760"/>
      <c r="D49" s="760"/>
      <c r="E49" s="761"/>
      <c r="F49" s="229" t="s">
        <v>2832</v>
      </c>
      <c r="G49" s="140"/>
      <c r="H49" s="116"/>
      <c r="I49" s="117"/>
    </row>
    <row r="50" spans="1:19" ht="14.25" customHeight="1" x14ac:dyDescent="0.2">
      <c r="A50" s="124"/>
      <c r="B50" s="759" t="s">
        <v>2833</v>
      </c>
      <c r="C50" s="760"/>
      <c r="D50" s="760"/>
      <c r="E50" s="761"/>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B48:E48"/>
    <mergeCell ref="B49:E49"/>
    <mergeCell ref="B50:E50"/>
    <mergeCell ref="B46:F46"/>
    <mergeCell ref="B42:E42"/>
    <mergeCell ref="B43:E43"/>
    <mergeCell ref="B44:E44"/>
    <mergeCell ref="B45:E45"/>
    <mergeCell ref="B47:E47"/>
    <mergeCell ref="B37:E37"/>
    <mergeCell ref="B38:E38"/>
    <mergeCell ref="B39:E39"/>
    <mergeCell ref="B40:E40"/>
    <mergeCell ref="B41:E41"/>
    <mergeCell ref="B31:E31"/>
    <mergeCell ref="B32:E32"/>
    <mergeCell ref="B33:E33"/>
    <mergeCell ref="B34:E34"/>
    <mergeCell ref="B36:E36"/>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A65:H65"/>
    <mergeCell ref="G51:H51"/>
    <mergeCell ref="G52:H52"/>
    <mergeCell ref="G53:H53"/>
    <mergeCell ref="A62:I62"/>
    <mergeCell ref="A60:I60"/>
    <mergeCell ref="A12:B12"/>
    <mergeCell ref="A13:B13"/>
    <mergeCell ref="B15:F15"/>
    <mergeCell ref="A6:I6"/>
    <mergeCell ref="A8:B8"/>
    <mergeCell ref="A9:B9"/>
    <mergeCell ref="A10:B10"/>
    <mergeCell ref="A11:B11"/>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27" t="s">
        <v>2593</v>
      </c>
      <c r="C17" s="727"/>
      <c r="D17" s="727"/>
      <c r="E17" s="727"/>
      <c r="F17" s="727"/>
      <c r="G17" s="74" t="s">
        <v>2511</v>
      </c>
      <c r="H17" s="75" t="s">
        <v>2776</v>
      </c>
      <c r="I17" s="308" t="s">
        <v>2513</v>
      </c>
      <c r="J17" s="75" t="s">
        <v>2777</v>
      </c>
      <c r="S17" s="308" t="s">
        <v>2510</v>
      </c>
      <c r="T17" s="727" t="s">
        <v>2593</v>
      </c>
      <c r="U17" s="727"/>
      <c r="V17" s="727"/>
      <c r="W17" s="727"/>
      <c r="X17" s="727"/>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B17:F17"/>
    <mergeCell ref="B18:F18"/>
    <mergeCell ref="B19:F19"/>
    <mergeCell ref="B20:F20"/>
    <mergeCell ref="T22:X22"/>
    <mergeCell ref="T17:X17"/>
    <mergeCell ref="T18:X18"/>
    <mergeCell ref="T19:X19"/>
    <mergeCell ref="T20:X20"/>
    <mergeCell ref="T21:X21"/>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79">
        <v>439</v>
      </c>
      <c r="G1" s="779"/>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80" t="str">
        <f>VLOOKUP($N$1,MAMA,9,FALSE)</f>
        <v>-</v>
      </c>
      <c r="I3" s="780"/>
      <c r="J3" s="780"/>
      <c r="K3" s="780"/>
      <c r="M3" s="779">
        <v>222</v>
      </c>
      <c r="N3" s="779"/>
    </row>
    <row r="4" spans="2:23" ht="15" customHeight="1" x14ac:dyDescent="0.25">
      <c r="B4" s="120" t="s">
        <v>2496</v>
      </c>
      <c r="C4" s="120"/>
      <c r="D4" s="315">
        <f>VLOOKUP($N$1,MAMA,3,FALSE)</f>
        <v>20602159834</v>
      </c>
      <c r="E4" s="245"/>
      <c r="F4" s="245"/>
      <c r="G4" s="168"/>
      <c r="H4" s="780"/>
      <c r="I4" s="780"/>
      <c r="J4" s="780"/>
      <c r="K4" s="780"/>
      <c r="M4" s="782">
        <v>222</v>
      </c>
      <c r="N4" s="782"/>
      <c r="O4" s="250" t="s">
        <v>2870</v>
      </c>
    </row>
    <row r="5" spans="2:23" ht="15" customHeight="1" x14ac:dyDescent="0.25">
      <c r="B5" s="299" t="s">
        <v>2497</v>
      </c>
      <c r="C5" s="299"/>
      <c r="D5" s="783" t="str">
        <f>VLOOKUP($N$1,MAMA,4,FALSE)</f>
        <v>-</v>
      </c>
      <c r="E5" s="783"/>
      <c r="F5" s="783"/>
      <c r="G5" s="299" t="s">
        <v>2498</v>
      </c>
      <c r="H5" s="780" t="str">
        <f>VLOOKUP($N$1,MAMA,10,FALSE)</f>
        <v>-</v>
      </c>
      <c r="I5" s="780"/>
      <c r="J5" s="780"/>
      <c r="K5" s="780"/>
      <c r="M5" s="785">
        <v>222</v>
      </c>
      <c r="N5" s="785"/>
    </row>
    <row r="6" spans="2:23" ht="12" customHeight="1" x14ac:dyDescent="0.25">
      <c r="B6" s="299"/>
      <c r="C6" s="299"/>
      <c r="D6" s="783"/>
      <c r="E6" s="783"/>
      <c r="F6" s="783"/>
      <c r="G6" s="168"/>
      <c r="H6" s="780"/>
      <c r="I6" s="780"/>
      <c r="J6" s="780"/>
      <c r="K6" s="780"/>
    </row>
    <row r="7" spans="2:23" ht="15" customHeight="1" x14ac:dyDescent="0.25">
      <c r="B7" s="120" t="s">
        <v>2499</v>
      </c>
      <c r="C7" s="120"/>
      <c r="D7" s="315" t="str">
        <f>VLOOKUP($N$1,MAMA,5,FALSE)</f>
        <v>Sulema López Meza</v>
      </c>
      <c r="E7" s="245"/>
      <c r="F7" s="245"/>
      <c r="G7" s="246" t="s">
        <v>2500</v>
      </c>
      <c r="H7" s="784" t="s">
        <v>2501</v>
      </c>
      <c r="I7" s="784"/>
      <c r="J7" s="784"/>
      <c r="K7" s="169"/>
    </row>
    <row r="8" spans="2:23" ht="15" customHeight="1" x14ac:dyDescent="0.25">
      <c r="B8" s="299"/>
      <c r="C8" s="299"/>
      <c r="D8" s="315" t="str">
        <f>VLOOKUP($N$1,MAMA,6,FALSE)</f>
        <v>-</v>
      </c>
      <c r="E8" s="245"/>
      <c r="F8" s="245"/>
      <c r="G8" s="246" t="s">
        <v>2502</v>
      </c>
      <c r="H8" s="777" t="s">
        <v>2503</v>
      </c>
      <c r="I8" s="777"/>
      <c r="J8" s="777"/>
      <c r="K8" s="168"/>
    </row>
    <row r="9" spans="2:23" ht="15" customHeight="1" x14ac:dyDescent="0.25">
      <c r="B9" s="120" t="s">
        <v>2502</v>
      </c>
      <c r="C9" s="120"/>
      <c r="D9" s="315">
        <f>VLOOKUP($N$1,MAMA,7,FALSE)</f>
        <v>975513161</v>
      </c>
      <c r="E9" s="245"/>
      <c r="F9" s="168"/>
      <c r="G9" s="246" t="s">
        <v>2504</v>
      </c>
      <c r="H9" s="778">
        <v>45122</v>
      </c>
      <c r="I9" s="778"/>
      <c r="J9" s="778"/>
      <c r="K9" s="168"/>
      <c r="N9" s="250" t="s">
        <v>2505</v>
      </c>
    </row>
    <row r="10" spans="2:23" ht="15" customHeight="1" x14ac:dyDescent="0.25">
      <c r="B10" s="120" t="s">
        <v>2506</v>
      </c>
      <c r="C10" s="120"/>
      <c r="D10" s="781" t="str">
        <f>VLOOKUP($N$1,MAMA,8,FALSE)</f>
        <v>contactos@gpoaleph.com</v>
      </c>
      <c r="E10" s="781"/>
      <c r="F10" s="781"/>
      <c r="G10" s="246" t="s">
        <v>2507</v>
      </c>
      <c r="H10" s="778">
        <v>45122</v>
      </c>
      <c r="I10" s="778"/>
      <c r="J10" s="778"/>
      <c r="K10" s="168"/>
    </row>
    <row r="11" spans="2:23" ht="9" customHeight="1" x14ac:dyDescent="0.25">
      <c r="B11" s="299"/>
      <c r="C11" s="299"/>
      <c r="D11" s="781"/>
      <c r="E11" s="781"/>
      <c r="F11" s="781"/>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2" t="s">
        <v>2872</v>
      </c>
      <c r="O13" s="642"/>
      <c r="P13" s="642"/>
      <c r="Q13" s="642"/>
      <c r="R13" s="642"/>
      <c r="S13" s="642"/>
      <c r="T13" s="642"/>
      <c r="U13" s="642"/>
      <c r="V13" s="642"/>
      <c r="W13" s="642"/>
    </row>
    <row r="14" spans="2:23" ht="36" customHeight="1" x14ac:dyDescent="0.25">
      <c r="B14" s="611"/>
      <c r="C14" s="611"/>
      <c r="D14" s="611"/>
      <c r="E14" s="611"/>
      <c r="F14" s="611"/>
      <c r="G14" s="611"/>
      <c r="H14" s="611"/>
      <c r="I14" s="611"/>
      <c r="J14" s="611"/>
      <c r="K14" s="611"/>
      <c r="L14" s="258"/>
      <c r="M14" s="258"/>
      <c r="N14" s="642"/>
      <c r="O14" s="642"/>
      <c r="P14" s="642"/>
      <c r="Q14" s="642"/>
      <c r="R14" s="642"/>
      <c r="S14" s="642"/>
      <c r="T14" s="642"/>
      <c r="U14" s="642"/>
      <c r="V14" s="642"/>
      <c r="W14" s="642"/>
    </row>
    <row r="15" spans="2:23" ht="76.5" customHeight="1" x14ac:dyDescent="0.25">
      <c r="B15" s="642" t="s">
        <v>2873</v>
      </c>
      <c r="C15" s="642"/>
      <c r="D15" s="642"/>
      <c r="E15" s="642"/>
      <c r="F15" s="642"/>
      <c r="G15" s="642"/>
      <c r="H15" s="642"/>
      <c r="I15" s="642"/>
      <c r="J15" s="642"/>
      <c r="K15" s="642"/>
      <c r="W15" s="250" t="s">
        <v>2874</v>
      </c>
    </row>
    <row r="16" spans="2:23" ht="43.5" customHeight="1" x14ac:dyDescent="0.3">
      <c r="B16" s="300" t="s">
        <v>66</v>
      </c>
      <c r="C16" s="631" t="s">
        <v>2875</v>
      </c>
      <c r="D16" s="632"/>
      <c r="E16" s="632"/>
      <c r="F16" s="632"/>
      <c r="G16" s="633"/>
      <c r="H16" s="631" t="s">
        <v>2512</v>
      </c>
      <c r="I16" s="633"/>
      <c r="J16" s="300" t="s">
        <v>2513</v>
      </c>
      <c r="K16" s="247" t="s">
        <v>2514</v>
      </c>
      <c r="L16" s="259"/>
    </row>
    <row r="17" spans="2:40" ht="24" customHeight="1" x14ac:dyDescent="0.25">
      <c r="B17" s="260">
        <v>1</v>
      </c>
      <c r="C17" s="770" t="s">
        <v>2876</v>
      </c>
      <c r="D17" s="771"/>
      <c r="E17" s="771"/>
      <c r="F17" s="771"/>
      <c r="G17" s="772"/>
      <c r="H17" s="774">
        <v>1100</v>
      </c>
      <c r="I17" s="775"/>
      <c r="J17" s="261">
        <v>1</v>
      </c>
      <c r="K17" s="262">
        <f>+H17*J17</f>
        <v>1100</v>
      </c>
      <c r="L17" s="263"/>
      <c r="P17" s="266"/>
    </row>
    <row r="18" spans="2:40" ht="98.25" customHeight="1" x14ac:dyDescent="0.25">
      <c r="B18" s="260"/>
      <c r="C18" s="770" t="s">
        <v>2877</v>
      </c>
      <c r="D18" s="771"/>
      <c r="E18" s="771"/>
      <c r="F18" s="771"/>
      <c r="G18" s="772"/>
      <c r="H18" s="767"/>
      <c r="I18" s="768"/>
      <c r="J18" s="261"/>
      <c r="K18" s="262"/>
      <c r="L18" s="263"/>
      <c r="M18" s="264"/>
      <c r="N18" s="264"/>
      <c r="O18" s="265"/>
      <c r="P18" s="266"/>
    </row>
    <row r="19" spans="2:40" ht="392.25" customHeight="1" x14ac:dyDescent="0.25">
      <c r="B19" s="260"/>
      <c r="C19" s="764" t="s">
        <v>2878</v>
      </c>
      <c r="D19" s="765"/>
      <c r="E19" s="765"/>
      <c r="F19" s="765"/>
      <c r="G19" s="766"/>
      <c r="H19" s="767"/>
      <c r="I19" s="768"/>
      <c r="J19" s="261"/>
      <c r="K19" s="262"/>
      <c r="L19" s="263"/>
      <c r="M19" s="264"/>
      <c r="N19" s="264"/>
      <c r="O19" s="265"/>
      <c r="P19" s="266"/>
    </row>
    <row r="20" spans="2:40" ht="321.75" customHeight="1" x14ac:dyDescent="0.25">
      <c r="B20" s="260"/>
      <c r="C20" s="770" t="s">
        <v>2879</v>
      </c>
      <c r="D20" s="771"/>
      <c r="E20" s="771"/>
      <c r="F20" s="771"/>
      <c r="G20" s="772"/>
      <c r="H20" s="767"/>
      <c r="I20" s="768"/>
      <c r="J20" s="261"/>
      <c r="K20" s="262"/>
      <c r="L20" s="263"/>
      <c r="M20" s="264"/>
      <c r="N20" s="264"/>
      <c r="O20" s="265"/>
      <c r="P20" s="266"/>
    </row>
    <row r="21" spans="2:40" ht="20.25" hidden="1" customHeight="1" x14ac:dyDescent="0.25">
      <c r="B21" s="260">
        <v>2</v>
      </c>
      <c r="C21" s="770" t="s">
        <v>2880</v>
      </c>
      <c r="D21" s="771"/>
      <c r="E21" s="771"/>
      <c r="F21" s="771"/>
      <c r="G21" s="772"/>
      <c r="H21" s="767">
        <v>2200</v>
      </c>
      <c r="I21" s="768"/>
      <c r="J21" s="261">
        <v>1</v>
      </c>
      <c r="K21" s="262"/>
      <c r="L21" s="263"/>
      <c r="M21" s="264"/>
      <c r="N21" s="264"/>
      <c r="O21" s="265"/>
      <c r="P21" s="266"/>
    </row>
    <row r="22" spans="2:40" ht="17.100000000000001" customHeight="1" x14ac:dyDescent="0.25">
      <c r="B22" s="611"/>
      <c r="C22" s="611"/>
      <c r="D22" s="611"/>
      <c r="H22" s="776" t="s">
        <v>2515</v>
      </c>
      <c r="I22" s="776"/>
      <c r="J22" s="776"/>
      <c r="K22" s="289">
        <f>+SUM(K17:K21)</f>
        <v>1100</v>
      </c>
      <c r="L22" s="267"/>
      <c r="M22" s="264"/>
      <c r="N22" s="264"/>
      <c r="O22" s="265"/>
      <c r="P22" s="266"/>
    </row>
    <row r="23" spans="2:40" ht="17.100000000000001" hidden="1" customHeight="1" x14ac:dyDescent="0.25">
      <c r="B23" s="611"/>
      <c r="C23" s="611"/>
      <c r="D23" s="611"/>
      <c r="H23" s="625" t="s">
        <v>2881</v>
      </c>
      <c r="I23" s="625"/>
      <c r="J23" s="625"/>
      <c r="K23" s="289"/>
      <c r="L23" s="267"/>
      <c r="M23" s="264"/>
      <c r="N23" s="264"/>
      <c r="O23" s="265"/>
      <c r="P23" s="266"/>
    </row>
    <row r="24" spans="2:40" ht="17.100000000000001" customHeight="1" x14ac:dyDescent="0.25">
      <c r="B24" s="611"/>
      <c r="C24" s="611"/>
      <c r="D24" s="611"/>
      <c r="H24" s="625" t="s">
        <v>2516</v>
      </c>
      <c r="I24" s="625"/>
      <c r="J24" s="625"/>
      <c r="K24" s="268">
        <f>+K22*0.18</f>
        <v>198</v>
      </c>
      <c r="L24" s="267"/>
      <c r="M24" s="264"/>
      <c r="N24" s="264"/>
      <c r="O24" s="265"/>
      <c r="P24" s="266"/>
    </row>
    <row r="25" spans="2:40" ht="17.100000000000001" customHeight="1" x14ac:dyDescent="0.25">
      <c r="B25" s="611"/>
      <c r="C25" s="611"/>
      <c r="D25" s="611"/>
      <c r="H25" s="625" t="s">
        <v>2543</v>
      </c>
      <c r="I25" s="625"/>
      <c r="J25" s="625"/>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6" t="s">
        <v>2882</v>
      </c>
      <c r="C28" s="696"/>
      <c r="D28" s="696"/>
      <c r="E28" s="696"/>
      <c r="F28" s="696"/>
      <c r="G28" s="696"/>
      <c r="H28" s="696"/>
      <c r="I28" s="696"/>
      <c r="J28" s="696"/>
      <c r="K28" s="696"/>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3" t="s">
        <v>2890</v>
      </c>
      <c r="C35" s="773"/>
      <c r="D35" s="773"/>
      <c r="E35" s="773"/>
      <c r="F35" s="773"/>
      <c r="G35" s="773"/>
      <c r="H35" s="773"/>
      <c r="I35" s="773"/>
      <c r="J35" s="773"/>
      <c r="K35" s="773"/>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6"/>
      <c r="C39" s="696"/>
      <c r="D39" s="696"/>
      <c r="E39" s="696"/>
      <c r="F39" s="696"/>
      <c r="G39" s="696"/>
      <c r="H39" s="696"/>
      <c r="I39" s="696"/>
      <c r="J39" s="696"/>
      <c r="K39" s="696"/>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2" t="s">
        <v>2894</v>
      </c>
      <c r="C54" s="642"/>
      <c r="D54" s="642"/>
      <c r="E54" s="642"/>
      <c r="F54" s="642"/>
      <c r="G54" s="642"/>
      <c r="H54" s="642"/>
      <c r="I54" s="642"/>
      <c r="J54" s="642"/>
      <c r="K54" s="642"/>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9" t="s">
        <v>2485</v>
      </c>
      <c r="K63" s="699"/>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69"/>
      <c r="C69" s="769"/>
      <c r="D69" s="769"/>
      <c r="J69" s="250"/>
      <c r="N69" s="288"/>
      <c r="O69" s="288"/>
    </row>
    <row r="70" spans="2:15" ht="48.75" customHeight="1" x14ac:dyDescent="0.25">
      <c r="B70" s="611" t="s">
        <v>2869</v>
      </c>
      <c r="C70" s="611"/>
      <c r="D70" s="611"/>
    </row>
    <row r="71" spans="2:15" ht="30" customHeight="1" x14ac:dyDescent="0.25"/>
  </sheetData>
  <mergeCells count="49">
    <mergeCell ref="M3:N3"/>
    <mergeCell ref="M4:N4"/>
    <mergeCell ref="D5:F6"/>
    <mergeCell ref="H5:K6"/>
    <mergeCell ref="H7:J7"/>
    <mergeCell ref="M5:N5"/>
    <mergeCell ref="H8:J8"/>
    <mergeCell ref="H9:J9"/>
    <mergeCell ref="H10:J10"/>
    <mergeCell ref="F1:G1"/>
    <mergeCell ref="H3:K4"/>
    <mergeCell ref="D10:F11"/>
    <mergeCell ref="AF29:AN29"/>
    <mergeCell ref="B30:K30"/>
    <mergeCell ref="M29:V29"/>
    <mergeCell ref="H22:J22"/>
    <mergeCell ref="H24:J24"/>
    <mergeCell ref="H25:J25"/>
    <mergeCell ref="B28:K28"/>
    <mergeCell ref="B22:D25"/>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N13:W14"/>
    <mergeCell ref="C19:G19"/>
    <mergeCell ref="H19:I19"/>
    <mergeCell ref="B54:K54"/>
    <mergeCell ref="B69:D69"/>
    <mergeCell ref="J63:K63"/>
    <mergeCell ref="W29:AE29"/>
    <mergeCell ref="H16:I16"/>
    <mergeCell ref="C16:G16"/>
    <mergeCell ref="B13:K14"/>
    <mergeCell ref="C21:G21"/>
    <mergeCell ref="H21:I21"/>
    <mergeCell ref="H23:J23"/>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2026-01-27T15:42:30Z</dcterms:modified>
  <cp:category/>
  <cp:contentStatus/>
</cp:coreProperties>
</file>