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1.bin" ContentType="application/vnd.openxmlformats-officedocument.oleObject"/>
  <Override PartName="/xl/drawings/drawing14.xml" ContentType="application/vnd.openxmlformats-officedocument.drawing+xml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840464C7-A1BA-487D-BA8C-1B7F937C1C71}" xr6:coauthVersionLast="47" xr6:coauthVersionMax="47" xr10:uidLastSave="{00000000-0000-0000-0000-000000000000}"/>
  <bookViews>
    <workbookView xWindow="-108" yWindow="-108" windowWidth="23256" windowHeight="12456" tabRatio="766" firstSheet="7" activeTab="8" xr2:uid="{00000000-000D-0000-FFFF-FFFF00000000}"/>
  </bookViews>
  <sheets>
    <sheet name="-------" sheetId="1" state="veryHidden" r:id="rId1"/>
    <sheet name="Gran" sheetId="8" state="hidden" r:id="rId2"/>
    <sheet name="G_E" sheetId="28" state="hidden" r:id="rId3"/>
    <sheet name="PU-S" sheetId="27" state="hidden" r:id="rId4"/>
    <sheet name="PU-C" sheetId="26" state="hidden" r:id="rId5"/>
    <sheet name="% que pasa # 200" sheetId="25" state="hidden" r:id="rId6"/>
    <sheet name="D_S" sheetId="20" state="hidden" r:id="rId7"/>
    <sheet name="FORMATO" sheetId="36" r:id="rId8"/>
    <sheet name="&gt; Tamiz 200" sheetId="31" r:id="rId9"/>
    <sheet name="DATOS ENS" sheetId="34" r:id="rId10"/>
    <sheet name="Incertidumbre" sheetId="32" r:id="rId11"/>
    <sheet name="Balanza" sheetId="33" r:id="rId12"/>
    <sheet name="Precision" sheetId="35" r:id="rId13"/>
    <sheet name="CHATAS" sheetId="22" state="hidden" r:id="rId14"/>
    <sheet name="Sucs" sheetId="6" state="hidden" r:id="rId15"/>
    <sheet name="Aashto" sheetId="7" state="hidden" r:id="rId16"/>
    <sheet name="Apoyo 2" sheetId="9" state="hidden" r:id="rId17"/>
    <sheet name="Sedimentación" sheetId="19" state="hidden" r:id="rId18"/>
    <sheet name="H.N" sheetId="16" state="hidden" r:id="rId19"/>
    <sheet name="Caras Fracturadas" sheetId="13" state="hidden" r:id="rId20"/>
    <sheet name="Chatas y Alarga." sheetId="14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11">#REF!</definedName>
    <definedName name="_L1" localSheetId="10">#REF!</definedName>
    <definedName name="_L1">#REF!</definedName>
    <definedName name="_Ll1">[2]Sucs!$L$3</definedName>
    <definedName name="_W1" localSheetId="11">#REF!</definedName>
    <definedName name="_W1" localSheetId="10">#REF!</definedName>
    <definedName name="_W1">#REF!</definedName>
    <definedName name="Abra">[3]Sucs!$C$3</definedName>
    <definedName name="_xlnm.Print_Area" localSheetId="5">'% que pasa # 200'!$A$1:$H$65</definedName>
    <definedName name="_xlnm.Print_Area" localSheetId="8">'&gt; Tamiz 200'!$A$1:$N$50</definedName>
    <definedName name="_xlnm.Print_Area" localSheetId="15">Aashto!$A$1:$O$47</definedName>
    <definedName name="_xlnm.Print_Area" localSheetId="19">'Caras Fracturadas'!$A$1:$H$59</definedName>
    <definedName name="_xlnm.Print_Area" localSheetId="13">CHATAS!$A$1:$J$60</definedName>
    <definedName name="_xlnm.Print_Area" localSheetId="20">'Chatas y Alarga.'!$A$1:$H$60</definedName>
    <definedName name="_xlnm.Print_Area" localSheetId="6">D_S!$A$1:$O$68</definedName>
    <definedName name="_xlnm.Print_Area" localSheetId="9">'DATOS ENS'!#REF!</definedName>
    <definedName name="_xlnm.Print_Area" localSheetId="7">FORMATO!$A$1:$L$48</definedName>
    <definedName name="_xlnm.Print_Area" localSheetId="2">G_E!$A$1:$I$53</definedName>
    <definedName name="_xlnm.Print_Area" localSheetId="1">Gran!$A$1:$P$73</definedName>
    <definedName name="_xlnm.Print_Area" localSheetId="18">H.N!$A$1:$D$57</definedName>
    <definedName name="_xlnm.Print_Area" localSheetId="4">'PU-C'!$A$1:$I$58</definedName>
    <definedName name="_xlnm.Print_Area" localSheetId="3">'PU-S'!$A$1:$J$59</definedName>
    <definedName name="_xlnm.Print_Area" localSheetId="17">Sedimentación!$A$1:$O$40</definedName>
    <definedName name="CC" localSheetId="5">[4]Sucs!$L$6</definedName>
    <definedName name="CC" localSheetId="11">#REF!</definedName>
    <definedName name="CC" localSheetId="2">[5]Sucs!$L$6</definedName>
    <definedName name="CC" localSheetId="10">#REF!</definedName>
    <definedName name="CC" localSheetId="4">[4]Sucs!$L$6</definedName>
    <definedName name="CC" localSheetId="3">[4]Sucs!$L$6</definedName>
    <definedName name="CC">Sucs!$L$6</definedName>
    <definedName name="CCf">'[2]Sucs(Fino)'!$L$6</definedName>
    <definedName name="CCVB">[6]Sucs!$L$3</definedName>
    <definedName name="CM">[7]BGA!$H$9</definedName>
    <definedName name="CU" localSheetId="5">[4]Sucs!$L$5</definedName>
    <definedName name="CU" localSheetId="11">#REF!</definedName>
    <definedName name="CU" localSheetId="2">[5]Sucs!$L$5</definedName>
    <definedName name="CU" localSheetId="10">#REF!</definedName>
    <definedName name="CU" localSheetId="4">[4]Sucs!$L$5</definedName>
    <definedName name="CU" localSheetId="3">[4]Sucs!$L$5</definedName>
    <definedName name="CU">Sucs!$L$5</definedName>
    <definedName name="CUf">'[2]Sucs(Fino)'!$L$5</definedName>
    <definedName name="hh" localSheetId="11">#REF!</definedName>
    <definedName name="hh" localSheetId="10">#REF!</definedName>
    <definedName name="hh">#REF!</definedName>
    <definedName name="IP" localSheetId="5">[4]Sucs!$L$4</definedName>
    <definedName name="IP" localSheetId="11">#REF!</definedName>
    <definedName name="IP" localSheetId="2">[5]Sucs!$L$4</definedName>
    <definedName name="IP" localSheetId="10">#REF!</definedName>
    <definedName name="IP" localSheetId="4">[4]Sucs!$L$4</definedName>
    <definedName name="IP" localSheetId="3">[4]Sucs!$L$4</definedName>
    <definedName name="IP">Sucs!$L$4</definedName>
    <definedName name="IPf">'[2]Sucs(Fino)'!$L$4</definedName>
    <definedName name="L" localSheetId="11">#REF!</definedName>
    <definedName name="L" localSheetId="10">#REF!</definedName>
    <definedName name="L">#REF!</definedName>
    <definedName name="LIf">'[2]Sucs(Fino)'!$L$3</definedName>
    <definedName name="Ll" localSheetId="5">[4]Sucs!$L$3</definedName>
    <definedName name="Ll" localSheetId="11">#REF!</definedName>
    <definedName name="Ll" localSheetId="2">[5]Sucs!$L$3</definedName>
    <definedName name="Ll" localSheetId="10">#REF!</definedName>
    <definedName name="Ll" localSheetId="4">[4]Sucs!$L$3</definedName>
    <definedName name="Ll" localSheetId="3">[4]Sucs!$L$3</definedName>
    <definedName name="Ll">Sucs!$L$3</definedName>
    <definedName name="MORA">[7]BGA!$H$13</definedName>
    <definedName name="N_10" localSheetId="5">[4]Sucs!$C$5</definedName>
    <definedName name="N_10" localSheetId="11">#REF!</definedName>
    <definedName name="N_10" localSheetId="2">[5]Sucs!$C$5</definedName>
    <definedName name="N_10" localSheetId="10">#REF!</definedName>
    <definedName name="N_10" localSheetId="4">[4]Sucs!$C$5</definedName>
    <definedName name="N_10" localSheetId="3">[4]Sucs!$C$5</definedName>
    <definedName name="N_10">Sucs!$C$5</definedName>
    <definedName name="N_101">[2]Sucs!$C$5</definedName>
    <definedName name="N_10f">'[2]Sucs(Fino)'!$C$5</definedName>
    <definedName name="N_200" localSheetId="5">[4]Sucs!$C$3</definedName>
    <definedName name="N_200" localSheetId="11">#REF!</definedName>
    <definedName name="N_200" localSheetId="2">[5]Sucs!$C$3</definedName>
    <definedName name="N_200" localSheetId="10">#REF!</definedName>
    <definedName name="N_200" localSheetId="4">[4]Sucs!$C$3</definedName>
    <definedName name="N_200" localSheetId="3">[4]Sucs!$C$3</definedName>
    <definedName name="N_200">Sucs!$C$3</definedName>
    <definedName name="N_2001">[2]Sucs!$C$3</definedName>
    <definedName name="N_200f">'[2]Sucs(Fino)'!$C$3</definedName>
    <definedName name="N_40" localSheetId="5">[4]Sucs!$C$4</definedName>
    <definedName name="N_40" localSheetId="11">#REF!</definedName>
    <definedName name="N_40" localSheetId="2">[5]Sucs!$C$4</definedName>
    <definedName name="N_40" localSheetId="10">#REF!</definedName>
    <definedName name="N_40" localSheetId="4">[4]Sucs!$C$4</definedName>
    <definedName name="N_40" localSheetId="3">[4]Sucs!$C$4</definedName>
    <definedName name="N_40">Sucs!$C$4</definedName>
    <definedName name="N_401">[2]Sucs!$C$4</definedName>
    <definedName name="N_40f">'[2]Sucs(Fino)'!$C$4</definedName>
    <definedName name="PC">[6]Sucs!$C$5</definedName>
    <definedName name="TABLA" localSheetId="5">#REF!</definedName>
    <definedName name="TABLA" localSheetId="8">#REF!</definedName>
    <definedName name="TABLA" localSheetId="11">#REF!</definedName>
    <definedName name="TABLA" localSheetId="13">#REF!</definedName>
    <definedName name="TABLA" localSheetId="9">#REF!</definedName>
    <definedName name="TABLA" localSheetId="2">#REF!</definedName>
    <definedName name="TABLA" localSheetId="10">#REF!</definedName>
    <definedName name="TABLA" localSheetId="4">#REF!</definedName>
    <definedName name="TABLA" localSheetId="3">#REF!</definedName>
    <definedName name="TABLA">#REF!</definedName>
    <definedName name="tipodegranulometria" localSheetId="11">'[8]G-LL '!$X$2:$X$3</definedName>
    <definedName name="tipodegranulometria" localSheetId="10">'[8]G-LL '!$X$2:$X$3</definedName>
    <definedName name="tipodegranulometria">'[8]G-LL '!$X$2:$X$3</definedName>
    <definedName name="tipodemateria" localSheetId="11">'[8]G-LL '!$X$5:$X$6</definedName>
    <definedName name="tipodemateria" localSheetId="10">'[8]G-LL '!$X$5:$X$6</definedName>
    <definedName name="tipodemateria">'[8]G-LL '!$X$5:$X$6</definedName>
    <definedName name="W" localSheetId="1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31" l="1"/>
  <c r="N10" i="31"/>
  <c r="B43" i="32" l="1"/>
  <c r="N9" i="31" l="1"/>
  <c r="N19" i="31"/>
  <c r="N18" i="31"/>
  <c r="N17" i="31"/>
  <c r="E18" i="31"/>
  <c r="E19" i="31"/>
  <c r="E17" i="31"/>
  <c r="C9" i="31"/>
  <c r="C10" i="31"/>
  <c r="C11" i="31"/>
  <c r="C8" i="31"/>
  <c r="N11" i="34"/>
  <c r="G16" i="34"/>
  <c r="G15" i="34"/>
  <c r="G13" i="34"/>
  <c r="G12" i="34"/>
  <c r="G11" i="34"/>
  <c r="I6" i="34"/>
  <c r="P19" i="31"/>
  <c r="G8" i="34" l="1"/>
  <c r="G7" i="34"/>
  <c r="G6" i="34"/>
  <c r="H16" i="34" s="1"/>
  <c r="H15" i="34" l="1"/>
  <c r="H11" i="34"/>
  <c r="H12" i="34"/>
  <c r="H13" i="34"/>
  <c r="F33" i="31"/>
  <c r="F32" i="31"/>
  <c r="E22" i="33" l="1"/>
  <c r="F22" i="33"/>
  <c r="G22" i="33"/>
  <c r="H22" i="33"/>
  <c r="I22" i="33"/>
  <c r="D22" i="33"/>
  <c r="H14" i="34" l="1"/>
  <c r="H17" i="34"/>
  <c r="I23" i="33" l="1"/>
  <c r="B14" i="35" l="1"/>
  <c r="B11" i="35"/>
  <c r="B10" i="35"/>
  <c r="B12" i="35"/>
  <c r="B13" i="35"/>
  <c r="B15" i="35" l="1"/>
  <c r="B18" i="35" s="1"/>
  <c r="B16" i="35" l="1"/>
  <c r="B19" i="35" s="1"/>
  <c r="H20" i="34"/>
  <c r="I20" i="34" s="1"/>
  <c r="G17" i="34"/>
  <c r="G14" i="34"/>
  <c r="N13" i="34" s="1"/>
  <c r="B17" i="35" l="1"/>
  <c r="G27" i="33"/>
  <c r="H21" i="34"/>
  <c r="I21" i="34" s="1"/>
  <c r="G18" i="34"/>
  <c r="J24" i="31" l="1"/>
  <c r="G28" i="33"/>
  <c r="H18" i="34"/>
  <c r="B39" i="32" l="1"/>
  <c r="B35" i="32"/>
  <c r="J25" i="31"/>
  <c r="J23" i="31"/>
  <c r="D23" i="33"/>
  <c r="E23" i="33"/>
  <c r="F23" i="33"/>
  <c r="G23" i="33"/>
  <c r="H23" i="33"/>
  <c r="F43" i="32"/>
  <c r="C38" i="32"/>
  <c r="F38" i="32" s="1"/>
  <c r="C42" i="32"/>
  <c r="F42" i="32" s="1"/>
  <c r="B49" i="32"/>
  <c r="B50" i="32"/>
  <c r="B51" i="32"/>
  <c r="H43" i="32" l="1"/>
  <c r="C51" i="32" s="1"/>
  <c r="H27" i="33"/>
  <c r="C36" i="32" s="1"/>
  <c r="F36" i="32" s="1"/>
  <c r="H28" i="33"/>
  <c r="C40" i="32" s="1"/>
  <c r="F40" i="32" s="1"/>
  <c r="B34" i="32"/>
  <c r="G39" i="32"/>
  <c r="G35" i="32"/>
  <c r="C41" i="32" l="1"/>
  <c r="C37" i="32"/>
  <c r="C13" i="26"/>
  <c r="A13" i="26"/>
  <c r="C13" i="27"/>
  <c r="A13" i="27"/>
  <c r="D13" i="28"/>
  <c r="A13" i="28"/>
  <c r="F41" i="32" l="1"/>
  <c r="F39" i="32" s="1"/>
  <c r="H39" i="32" s="1"/>
  <c r="C50" i="32" s="1"/>
  <c r="F37" i="32"/>
  <c r="F35" i="32" s="1"/>
  <c r="H35" i="32" s="1"/>
  <c r="S38" i="8"/>
  <c r="D18" i="8"/>
  <c r="G28" i="8" s="1"/>
  <c r="F44" i="32" l="1"/>
  <c r="F45" i="32" s="1"/>
  <c r="C49" i="32"/>
  <c r="G35" i="8"/>
  <c r="G31" i="8"/>
  <c r="G27" i="8"/>
  <c r="G34" i="8"/>
  <c r="G30" i="8"/>
  <c r="G33" i="8"/>
  <c r="G29" i="8"/>
  <c r="G32" i="8"/>
  <c r="C52" i="32" l="1"/>
  <c r="D49" i="32" s="1"/>
  <c r="I13" i="26"/>
  <c r="I12" i="26"/>
  <c r="C14" i="26"/>
  <c r="C12" i="26"/>
  <c r="C11" i="26"/>
  <c r="C10" i="26"/>
  <c r="J13" i="27"/>
  <c r="J12" i="27"/>
  <c r="C14" i="27"/>
  <c r="C12" i="27"/>
  <c r="C11" i="27"/>
  <c r="C10" i="27"/>
  <c r="I13" i="28"/>
  <c r="I12" i="28"/>
  <c r="D14" i="28"/>
  <c r="D12" i="28"/>
  <c r="D11" i="28"/>
  <c r="D10" i="28"/>
  <c r="D52" i="32" l="1"/>
  <c r="D51" i="32"/>
  <c r="D50" i="32"/>
  <c r="E40" i="28"/>
  <c r="H40" i="28" s="1"/>
  <c r="E34" i="28"/>
  <c r="E37" i="28" s="1"/>
  <c r="H37" i="28" s="1"/>
  <c r="F28" i="28"/>
  <c r="E28" i="28"/>
  <c r="F20" i="28"/>
  <c r="F22" i="28" s="1"/>
  <c r="E20" i="28"/>
  <c r="E22" i="28" s="1"/>
  <c r="G27" i="27"/>
  <c r="F27" i="27"/>
  <c r="F25" i="27"/>
  <c r="G25" i="27"/>
  <c r="E24" i="27"/>
  <c r="E26" i="27" s="1"/>
  <c r="E28" i="27" s="1"/>
  <c r="G23" i="27"/>
  <c r="G24" i="27" s="1"/>
  <c r="F23" i="27"/>
  <c r="F24" i="27" s="1"/>
  <c r="E24" i="26"/>
  <c r="E26" i="26" s="1"/>
  <c r="E28" i="26" s="1"/>
  <c r="F23" i="26"/>
  <c r="F24" i="26" s="1"/>
  <c r="G23" i="26"/>
  <c r="G24" i="26" s="1"/>
  <c r="F25" i="26"/>
  <c r="F27" i="26"/>
  <c r="G27" i="26"/>
  <c r="F26" i="27" l="1"/>
  <c r="F28" i="27" s="1"/>
  <c r="G26" i="27"/>
  <c r="G28" i="27" s="1"/>
  <c r="E36" i="28"/>
  <c r="E39" i="28" s="1"/>
  <c r="H39" i="28" s="1"/>
  <c r="E38" i="28"/>
  <c r="H38" i="28" s="1"/>
  <c r="F26" i="26"/>
  <c r="F28" i="26" s="1"/>
  <c r="E25" i="28"/>
  <c r="E26" i="28"/>
  <c r="E24" i="28"/>
  <c r="E27" i="28" s="1"/>
  <c r="F26" i="28"/>
  <c r="F24" i="28"/>
  <c r="F27" i="28" s="1"/>
  <c r="F25" i="28"/>
  <c r="G25" i="26"/>
  <c r="G26" i="26" s="1"/>
  <c r="G28" i="26" s="1"/>
  <c r="H19" i="8"/>
  <c r="I30" i="27" l="1"/>
  <c r="H30" i="26"/>
  <c r="G15" i="13"/>
  <c r="B18" i="13"/>
  <c r="B17" i="13"/>
  <c r="A17" i="13"/>
  <c r="B15" i="13"/>
  <c r="A14" i="13"/>
  <c r="A18" i="13" s="1"/>
  <c r="A13" i="13"/>
  <c r="B13" i="13"/>
  <c r="B12" i="13"/>
  <c r="A15" i="13"/>
  <c r="G14" i="13"/>
  <c r="F14" i="13"/>
  <c r="G13" i="13"/>
  <c r="F13" i="13"/>
  <c r="C23" i="25" l="1"/>
  <c r="C21" i="25"/>
  <c r="C22" i="25"/>
  <c r="C15" i="25"/>
  <c r="C27" i="25"/>
  <c r="F41" i="25"/>
  <c r="A15" i="25"/>
  <c r="A14" i="25"/>
  <c r="C13" i="25"/>
  <c r="A13" i="25"/>
  <c r="C12" i="25"/>
  <c r="M12" i="20" l="1"/>
  <c r="M11" i="20"/>
  <c r="D31" i="20"/>
  <c r="D30" i="20"/>
  <c r="D29" i="20"/>
  <c r="D28" i="20"/>
  <c r="D26" i="20"/>
  <c r="C12" i="22"/>
  <c r="I12" i="22"/>
  <c r="I13" i="22"/>
  <c r="C15" i="22"/>
  <c r="I31" i="22"/>
  <c r="G31" i="22"/>
  <c r="D27" i="20"/>
  <c r="C13" i="20"/>
  <c r="M13" i="20" s="1"/>
  <c r="E57" i="20" s="1"/>
  <c r="C11" i="20"/>
  <c r="B10" i="20"/>
  <c r="B11" i="20"/>
  <c r="B13" i="20"/>
  <c r="D25" i="20"/>
  <c r="F25" i="20"/>
  <c r="F26" i="20"/>
  <c r="F27" i="20"/>
  <c r="K27" i="20"/>
  <c r="F28" i="20"/>
  <c r="K28" i="20"/>
  <c r="F29" i="20"/>
  <c r="K29" i="20"/>
  <c r="F30" i="20"/>
  <c r="K30" i="20"/>
  <c r="F31" i="20"/>
  <c r="K31" i="20"/>
  <c r="E50" i="20"/>
  <c r="G50" i="20"/>
  <c r="I50" i="20"/>
  <c r="K50" i="20"/>
  <c r="E51" i="20"/>
  <c r="G51" i="20"/>
  <c r="I51" i="20"/>
  <c r="K51" i="20"/>
  <c r="E31" i="22"/>
  <c r="H27" i="8"/>
  <c r="F25" i="13"/>
  <c r="F26" i="13"/>
  <c r="F28" i="14"/>
  <c r="F29" i="14"/>
  <c r="I26" i="8"/>
  <c r="R53" i="8"/>
  <c r="R54" i="8" s="1"/>
  <c r="R63" i="8"/>
  <c r="R64" i="8" s="1"/>
  <c r="R58" i="8"/>
  <c r="R59" i="8" s="1"/>
  <c r="C5" i="6"/>
  <c r="L3" i="6" s="1"/>
  <c r="C6" i="6"/>
  <c r="L4" i="6" s="1"/>
  <c r="P24" i="6"/>
  <c r="S29" i="8"/>
  <c r="S30" i="8"/>
  <c r="T30" i="8"/>
  <c r="S31" i="8" s="1"/>
  <c r="I29" i="19"/>
  <c r="F24" i="19"/>
  <c r="K24" i="19" s="1"/>
  <c r="D31" i="19"/>
  <c r="L17" i="19" s="1"/>
  <c r="F23" i="19"/>
  <c r="U18" i="8"/>
  <c r="V18" i="8"/>
  <c r="G14" i="9"/>
  <c r="H14" i="9" s="1"/>
  <c r="G12" i="9"/>
  <c r="H12" i="9" s="1"/>
  <c r="G10" i="9"/>
  <c r="H10" i="9" s="1"/>
  <c r="G8" i="9"/>
  <c r="H8" i="9" s="1"/>
  <c r="G7" i="9"/>
  <c r="H7" i="9" s="1"/>
  <c r="G6" i="9"/>
  <c r="H6" i="9" s="1"/>
  <c r="G5" i="9"/>
  <c r="H5" i="9" s="1"/>
  <c r="G4" i="9"/>
  <c r="H4" i="9" s="1"/>
  <c r="G3" i="9"/>
  <c r="H3" i="9" s="1"/>
  <c r="G2" i="9"/>
  <c r="H2" i="9" s="1"/>
  <c r="G1" i="9"/>
  <c r="H1" i="9" s="1"/>
  <c r="I1" i="9" s="1"/>
  <c r="J1" i="9" s="1"/>
  <c r="G16" i="9"/>
  <c r="H16" i="9" s="1"/>
  <c r="G18" i="9"/>
  <c r="H18" i="9" s="1"/>
  <c r="G21" i="9"/>
  <c r="H21" i="9" s="1"/>
  <c r="G20" i="9"/>
  <c r="H20" i="9" s="1"/>
  <c r="G19" i="9"/>
  <c r="H19" i="9" s="1"/>
  <c r="S22" i="8"/>
  <c r="C21" i="7"/>
  <c r="D36" i="7" s="1"/>
  <c r="C20" i="7"/>
  <c r="D35" i="7" s="1"/>
  <c r="B20" i="16"/>
  <c r="A20" i="16"/>
  <c r="I30" i="19"/>
  <c r="I28" i="19"/>
  <c r="D12" i="19"/>
  <c r="D10" i="19"/>
  <c r="D11" i="19"/>
  <c r="D9" i="19"/>
  <c r="J20" i="19"/>
  <c r="F17" i="19"/>
  <c r="M17" i="19"/>
  <c r="F18" i="19"/>
  <c r="T18" i="19"/>
  <c r="T19" i="19" s="1"/>
  <c r="W18" i="19"/>
  <c r="W19" i="19" s="1"/>
  <c r="W20" i="19" s="1"/>
  <c r="W21" i="19" s="1"/>
  <c r="W22" i="19" s="1"/>
  <c r="W23" i="19" s="1"/>
  <c r="W24" i="19" s="1"/>
  <c r="W25" i="19" s="1"/>
  <c r="V18" i="19"/>
  <c r="V19" i="19" s="1"/>
  <c r="V20" i="19" s="1"/>
  <c r="V21" i="19" s="1"/>
  <c r="V22" i="19" s="1"/>
  <c r="V23" i="19" s="1"/>
  <c r="V24" i="19" s="1"/>
  <c r="V25" i="19" s="1"/>
  <c r="U18" i="19"/>
  <c r="U19" i="19" s="1"/>
  <c r="U20" i="19" s="1"/>
  <c r="U21" i="19" s="1"/>
  <c r="U22" i="19" s="1"/>
  <c r="U23" i="19" s="1"/>
  <c r="U24" i="19" s="1"/>
  <c r="U25" i="19" s="1"/>
  <c r="M18" i="19"/>
  <c r="F19" i="19"/>
  <c r="M19" i="19"/>
  <c r="F20" i="19"/>
  <c r="K20" i="19" s="1"/>
  <c r="M20" i="19"/>
  <c r="F21" i="19"/>
  <c r="M21" i="19"/>
  <c r="F22" i="19"/>
  <c r="M22" i="19"/>
  <c r="M23" i="19"/>
  <c r="M24" i="19"/>
  <c r="F25" i="19"/>
  <c r="M25" i="19"/>
  <c r="M23" i="9"/>
  <c r="D23" i="9" s="1"/>
  <c r="M24" i="9"/>
  <c r="A70" i="9" s="1"/>
  <c r="A71" i="9" s="1"/>
  <c r="M25" i="9"/>
  <c r="D25" i="9" s="1"/>
  <c r="M26" i="9"/>
  <c r="D26" i="9" s="1"/>
  <c r="M27" i="9"/>
  <c r="D27" i="9" s="1"/>
  <c r="M28" i="9"/>
  <c r="A82" i="9" s="1"/>
  <c r="A83" i="9" s="1"/>
  <c r="M29" i="9"/>
  <c r="D29" i="9" s="1"/>
  <c r="M30" i="9"/>
  <c r="D30" i="9" s="1"/>
  <c r="M22" i="9"/>
  <c r="D22" i="9" s="1"/>
  <c r="A76" i="9"/>
  <c r="A77" i="9" s="1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 s="1"/>
  <c r="A19" i="9"/>
  <c r="A20" i="9" s="1"/>
  <c r="A61" i="9"/>
  <c r="A62" i="9" s="1"/>
  <c r="A58" i="9"/>
  <c r="A59" i="9" s="1"/>
  <c r="A55" i="9"/>
  <c r="A56" i="9" s="1"/>
  <c r="A52" i="9"/>
  <c r="A53" i="9" s="1"/>
  <c r="A49" i="9"/>
  <c r="A50" i="9" s="1"/>
  <c r="A46" i="9"/>
  <c r="A47" i="9" s="1"/>
  <c r="A43" i="9"/>
  <c r="A44" i="9" s="1"/>
  <c r="A40" i="9"/>
  <c r="A41" i="9" s="1"/>
  <c r="A37" i="9"/>
  <c r="A38" i="9" s="1"/>
  <c r="A34" i="9"/>
  <c r="A35" i="9" s="1"/>
  <c r="A31" i="9"/>
  <c r="A32" i="9" s="1"/>
  <c r="A28" i="9"/>
  <c r="A29" i="9" s="1"/>
  <c r="A25" i="9"/>
  <c r="A26" i="9" s="1"/>
  <c r="A22" i="9"/>
  <c r="A23" i="9" s="1"/>
  <c r="A13" i="9"/>
  <c r="A14" i="9" s="1"/>
  <c r="A10" i="9"/>
  <c r="A11" i="9" s="1"/>
  <c r="A7" i="9"/>
  <c r="A8" i="9" s="1"/>
  <c r="A4" i="9"/>
  <c r="A5" i="9" s="1"/>
  <c r="A1" i="9"/>
  <c r="A2" i="9" s="1"/>
  <c r="C26" i="13"/>
  <c r="E26" i="13" s="1"/>
  <c r="C27" i="13"/>
  <c r="E27" i="13" s="1"/>
  <c r="C28" i="13"/>
  <c r="E28" i="13" s="1"/>
  <c r="C25" i="13"/>
  <c r="E25" i="13" s="1"/>
  <c r="F27" i="13"/>
  <c r="F28" i="13"/>
  <c r="C26" i="14"/>
  <c r="E26" i="14" s="1"/>
  <c r="C27" i="14"/>
  <c r="E27" i="14" s="1"/>
  <c r="C28" i="14"/>
  <c r="E28" i="14" s="1"/>
  <c r="C29" i="14"/>
  <c r="E29" i="14" s="1"/>
  <c r="B19" i="14"/>
  <c r="A19" i="14"/>
  <c r="B18" i="14"/>
  <c r="A18" i="14"/>
  <c r="B17" i="14"/>
  <c r="A17" i="14"/>
  <c r="F16" i="14"/>
  <c r="E16" i="14"/>
  <c r="A16" i="14"/>
  <c r="B14" i="14"/>
  <c r="A14" i="14"/>
  <c r="B13" i="14"/>
  <c r="A13" i="14"/>
  <c r="B12" i="14"/>
  <c r="A12" i="14"/>
  <c r="F27" i="14"/>
  <c r="F26" i="14"/>
  <c r="S19" i="8"/>
  <c r="S13" i="8"/>
  <c r="S12" i="8"/>
  <c r="S11" i="8"/>
  <c r="R13" i="8"/>
  <c r="R12" i="8"/>
  <c r="R11" i="8"/>
  <c r="C27" i="16"/>
  <c r="C28" i="16"/>
  <c r="A12" i="16"/>
  <c r="B12" i="16"/>
  <c r="A13" i="16"/>
  <c r="B13" i="16"/>
  <c r="A14" i="16"/>
  <c r="B14" i="16"/>
  <c r="A16" i="16"/>
  <c r="A17" i="16"/>
  <c r="B17" i="16"/>
  <c r="A18" i="16"/>
  <c r="B18" i="16"/>
  <c r="A19" i="16"/>
  <c r="B19" i="16"/>
  <c r="A64" i="9" l="1"/>
  <c r="A65" i="9" s="1"/>
  <c r="C29" i="16"/>
  <c r="B30" i="16" s="1"/>
  <c r="G22" i="19"/>
  <c r="G18" i="19"/>
  <c r="G21" i="19"/>
  <c r="G17" i="19"/>
  <c r="H33" i="22"/>
  <c r="A85" i="9"/>
  <c r="A86" i="9" s="1"/>
  <c r="G25" i="19"/>
  <c r="A88" i="9"/>
  <c r="A89" i="9" s="1"/>
  <c r="G19" i="19"/>
  <c r="K22" i="19"/>
  <c r="K25" i="19"/>
  <c r="K19" i="19"/>
  <c r="G23" i="19"/>
  <c r="A73" i="9"/>
  <c r="A74" i="9" s="1"/>
  <c r="L18" i="19"/>
  <c r="G24" i="19"/>
  <c r="D28" i="9"/>
  <c r="D24" i="9"/>
  <c r="K21" i="19"/>
  <c r="G20" i="19"/>
  <c r="A67" i="9"/>
  <c r="A68" i="9" s="1"/>
  <c r="A79" i="9"/>
  <c r="A80" i="9" s="1"/>
  <c r="K23" i="19"/>
  <c r="K18" i="19"/>
  <c r="D32" i="20"/>
  <c r="G26" i="20" s="1"/>
  <c r="K17" i="19"/>
  <c r="N17" i="19" s="1"/>
  <c r="U19" i="8"/>
  <c r="G26" i="13"/>
  <c r="S32" i="8"/>
  <c r="H28" i="8"/>
  <c r="H29" i="8" s="1"/>
  <c r="I27" i="8"/>
  <c r="F29" i="13"/>
  <c r="G25" i="13"/>
  <c r="F30" i="14"/>
  <c r="C30" i="14"/>
  <c r="G28" i="14"/>
  <c r="G27" i="13"/>
  <c r="I2" i="9"/>
  <c r="J2" i="9" s="1"/>
  <c r="G26" i="14"/>
  <c r="G29" i="14"/>
  <c r="G27" i="14"/>
  <c r="G28" i="13"/>
  <c r="C29" i="13"/>
  <c r="E56" i="20"/>
  <c r="L19" i="19"/>
  <c r="T20" i="19"/>
  <c r="T59" i="8"/>
  <c r="E4" i="6" s="1"/>
  <c r="L6" i="6" s="1"/>
  <c r="T56" i="8"/>
  <c r="E3" i="6" s="1"/>
  <c r="L5" i="6" s="1"/>
  <c r="F33" i="22"/>
  <c r="N19" i="19" l="1"/>
  <c r="N18" i="19"/>
  <c r="G36" i="22"/>
  <c r="H30" i="8"/>
  <c r="G30" i="20"/>
  <c r="M30" i="20" s="1"/>
  <c r="G28" i="20"/>
  <c r="M28" i="20" s="1"/>
  <c r="G29" i="20"/>
  <c r="M29" i="20" s="1"/>
  <c r="G27" i="20"/>
  <c r="M27" i="20" s="1"/>
  <c r="G31" i="20"/>
  <c r="M31" i="20" s="1"/>
  <c r="I3" i="9"/>
  <c r="I4" i="9" s="1"/>
  <c r="G30" i="14"/>
  <c r="F32" i="14" s="1"/>
  <c r="G29" i="13"/>
  <c r="F31" i="13" s="1"/>
  <c r="T21" i="19"/>
  <c r="L20" i="19"/>
  <c r="N20" i="19" s="1"/>
  <c r="H31" i="8" l="1"/>
  <c r="M32" i="20"/>
  <c r="J3" i="9"/>
  <c r="P3" i="9" s="1"/>
  <c r="G32" i="20"/>
  <c r="J4" i="9"/>
  <c r="P4" i="9" s="1"/>
  <c r="I5" i="9"/>
  <c r="L21" i="19"/>
  <c r="N21" i="19" s="1"/>
  <c r="T22" i="19"/>
  <c r="H32" i="8" l="1"/>
  <c r="I6" i="9"/>
  <c r="J5" i="9"/>
  <c r="P5" i="9" s="1"/>
  <c r="T23" i="19"/>
  <c r="L22" i="19"/>
  <c r="N22" i="19" s="1"/>
  <c r="H33" i="8" l="1"/>
  <c r="I32" i="8"/>
  <c r="L23" i="19"/>
  <c r="N23" i="19" s="1"/>
  <c r="T24" i="19"/>
  <c r="J6" i="9"/>
  <c r="P6" i="9" s="1"/>
  <c r="I7" i="9"/>
  <c r="H34" i="8" l="1"/>
  <c r="I33" i="8"/>
  <c r="I8" i="9"/>
  <c r="J7" i="9"/>
  <c r="P7" i="9" s="1"/>
  <c r="T25" i="19"/>
  <c r="L25" i="19" s="1"/>
  <c r="N25" i="19" s="1"/>
  <c r="L24" i="19"/>
  <c r="N24" i="19" s="1"/>
  <c r="I34" i="8" l="1"/>
  <c r="H35" i="8"/>
  <c r="C4" i="6"/>
  <c r="I9" i="9"/>
  <c r="I10" i="9" s="1"/>
  <c r="J8" i="9"/>
  <c r="I35" i="8" l="1"/>
  <c r="P8" i="9"/>
  <c r="I11" i="9"/>
  <c r="I12" i="9" s="1"/>
  <c r="J10" i="9"/>
  <c r="C11" i="7" l="1"/>
  <c r="D29" i="19"/>
  <c r="J12" i="9"/>
  <c r="J11" i="9" s="1"/>
  <c r="P11" i="9" s="1"/>
  <c r="I13" i="9"/>
  <c r="I14" i="9" s="1"/>
  <c r="P10" i="9"/>
  <c r="J9" i="9"/>
  <c r="P9" i="9" s="1"/>
  <c r="C12" i="7" l="1"/>
  <c r="H24" i="19"/>
  <c r="I24" i="19" s="1"/>
  <c r="H23" i="19"/>
  <c r="I23" i="19" s="1"/>
  <c r="H20" i="19"/>
  <c r="I20" i="19" s="1"/>
  <c r="H17" i="19"/>
  <c r="I17" i="19" s="1"/>
  <c r="H21" i="19"/>
  <c r="I21" i="19" s="1"/>
  <c r="H18" i="19"/>
  <c r="I18" i="19" s="1"/>
  <c r="H22" i="19"/>
  <c r="I22" i="19" s="1"/>
  <c r="H19" i="19"/>
  <c r="I19" i="19" s="1"/>
  <c r="H25" i="19"/>
  <c r="I25" i="19" s="1"/>
  <c r="N30" i="19" s="1"/>
  <c r="I15" i="9"/>
  <c r="I16" i="9" s="1"/>
  <c r="J14" i="9"/>
  <c r="P12" i="9"/>
  <c r="O23" i="19" l="1"/>
  <c r="O20" i="19"/>
  <c r="O19" i="19"/>
  <c r="O18" i="19"/>
  <c r="O24" i="19"/>
  <c r="N29" i="19"/>
  <c r="O22" i="19"/>
  <c r="O21" i="19"/>
  <c r="O25" i="19"/>
  <c r="P14" i="9"/>
  <c r="J13" i="9"/>
  <c r="P13" i="9" s="1"/>
  <c r="J16" i="9"/>
  <c r="J15" i="9" s="1"/>
  <c r="P15" i="9" s="1"/>
  <c r="I17" i="9"/>
  <c r="I18" i="9" s="1"/>
  <c r="K46" i="8" l="1"/>
  <c r="J18" i="9"/>
  <c r="P18" i="9" s="1"/>
  <c r="I19" i="9"/>
  <c r="P16" i="9"/>
  <c r="J17" i="9" l="1"/>
  <c r="P17" i="9" s="1"/>
  <c r="I20" i="9"/>
  <c r="J19" i="9"/>
  <c r="P19" i="9" s="1"/>
  <c r="J20" i="9" l="1"/>
  <c r="P20" i="9" s="1"/>
  <c r="I21" i="9"/>
  <c r="J21" i="9" s="1"/>
  <c r="P21" i="9" s="1"/>
  <c r="C13" i="7" l="1"/>
  <c r="C3" i="6"/>
  <c r="D30" i="19"/>
  <c r="C54" i="19" l="1"/>
  <c r="N28" i="19"/>
  <c r="O17" i="19"/>
  <c r="D34" i="7"/>
  <c r="D33" i="7"/>
  <c r="L20" i="6"/>
  <c r="P20" i="6" s="1"/>
  <c r="L21" i="6"/>
  <c r="P21" i="6" s="1"/>
  <c r="L22" i="6"/>
  <c r="P22" i="6" s="1"/>
  <c r="L17" i="6"/>
  <c r="P17" i="6" s="1"/>
  <c r="L23" i="6"/>
  <c r="P23" i="6" s="1"/>
  <c r="L18" i="6"/>
  <c r="P18" i="6" s="1"/>
  <c r="L19" i="6"/>
  <c r="P19" i="6" s="1"/>
  <c r="L11" i="6"/>
  <c r="L13" i="6"/>
  <c r="M14" i="6"/>
  <c r="N14" i="6"/>
  <c r="N10" i="6"/>
  <c r="N9" i="6"/>
  <c r="L9" i="6"/>
  <c r="M13" i="6"/>
  <c r="M15" i="6"/>
  <c r="L15" i="6"/>
  <c r="M10" i="6"/>
  <c r="L14" i="6"/>
  <c r="M9" i="6"/>
  <c r="L16" i="6"/>
  <c r="P16" i="6" s="1"/>
  <c r="N13" i="6"/>
  <c r="O10" i="6"/>
  <c r="O13" i="6"/>
  <c r="L10" i="6"/>
  <c r="M11" i="6"/>
  <c r="L12" i="6"/>
  <c r="P12" i="6" s="1"/>
  <c r="O9" i="6"/>
  <c r="O14" i="6"/>
  <c r="C38" i="7" l="1"/>
  <c r="D38" i="7" s="1"/>
  <c r="C23" i="7" s="1"/>
  <c r="P14" i="6"/>
  <c r="P9" i="6"/>
  <c r="P10" i="6"/>
  <c r="P15" i="6"/>
  <c r="P13" i="6"/>
  <c r="P11" i="6"/>
  <c r="F38" i="7" l="1"/>
  <c r="Q9" i="6"/>
  <c r="G4" i="6" s="1"/>
  <c r="D45" i="8" s="1"/>
  <c r="I31" i="19" s="1"/>
  <c r="O29" i="7"/>
  <c r="I29" i="7"/>
  <c r="F29" i="7"/>
  <c r="J29" i="7"/>
  <c r="K29" i="7"/>
  <c r="M29" i="7"/>
  <c r="N29" i="7"/>
  <c r="H29" i="7"/>
  <c r="D29" i="7"/>
  <c r="G29" i="7"/>
  <c r="L29" i="7"/>
  <c r="E29" i="7"/>
  <c r="I30" i="7" l="1"/>
  <c r="D30" i="7"/>
  <c r="G30" i="7"/>
  <c r="E30" i="7"/>
  <c r="F30" i="7"/>
  <c r="H30" i="7"/>
  <c r="J30" i="7"/>
  <c r="K30" i="7"/>
  <c r="O30" i="7"/>
  <c r="L30" i="7"/>
  <c r="M30" i="7"/>
  <c r="N30" i="7"/>
  <c r="D31" i="7" l="1"/>
  <c r="J26" i="7" s="1"/>
  <c r="H25" i="28"/>
  <c r="H26" i="28"/>
  <c r="H27" i="28"/>
  <c r="H28" i="28"/>
</calcChain>
</file>

<file path=xl/sharedStrings.xml><?xml version="1.0" encoding="utf-8"?>
<sst xmlns="http://schemas.openxmlformats.org/spreadsheetml/2006/main" count="1019" uniqueCount="629">
  <si>
    <t xml:space="preserve">Análisis Mecánico por Tamizado </t>
  </si>
  <si>
    <t>NORMA   ASTM C-136 / MTC E 204-200</t>
  </si>
  <si>
    <t>Solicitado</t>
  </si>
  <si>
    <t>:</t>
  </si>
  <si>
    <t>CAME Contratistas y servicios generales S.A.</t>
  </si>
  <si>
    <t>Proyecto</t>
  </si>
  <si>
    <t>Mejoramiento de la Carretera JU-1029 tramo PE 22 Pachachaca -Yauli</t>
  </si>
  <si>
    <t>Certificado Nº</t>
  </si>
  <si>
    <t>163-14 / SU  02</t>
  </si>
  <si>
    <t>Golp.</t>
  </si>
  <si>
    <t>% Humed</t>
  </si>
  <si>
    <t>Ubicación</t>
  </si>
  <si>
    <t>Distrito de Yauli - Junin</t>
  </si>
  <si>
    <t>Ref. Proyecto</t>
  </si>
  <si>
    <t xml:space="preserve">Cantera </t>
  </si>
  <si>
    <t>Agregados GMC S.R.L. (Rio Yauli - Km. 5+700)</t>
  </si>
  <si>
    <t>Fecha de ensayo</t>
  </si>
  <si>
    <t xml:space="preserve">Material </t>
  </si>
  <si>
    <t>Grava para concreto</t>
  </si>
  <si>
    <t>Hecho por</t>
  </si>
  <si>
    <t>F.L.G.</t>
  </si>
  <si>
    <t>Granulometría (MTC E 204)</t>
  </si>
  <si>
    <t>Humedad Natural</t>
  </si>
  <si>
    <t>Datos de ensayo</t>
  </si>
  <si>
    <t>P Hum</t>
  </si>
  <si>
    <t>=</t>
  </si>
  <si>
    <t>Peso Total                  :</t>
  </si>
  <si>
    <t>P seco</t>
  </si>
  <si>
    <t>LL</t>
  </si>
  <si>
    <t>Peso muestra lavada   :</t>
  </si>
  <si>
    <t>% W</t>
  </si>
  <si>
    <t>LP</t>
  </si>
  <si>
    <t>Malla</t>
  </si>
  <si>
    <t>Peso</t>
  </si>
  <si>
    <t>% Ret</t>
  </si>
  <si>
    <t>% que</t>
  </si>
  <si>
    <t>Gradación</t>
  </si>
  <si>
    <t>Tamiz</t>
  </si>
  <si>
    <t>mm.</t>
  </si>
  <si>
    <t>(gr)</t>
  </si>
  <si>
    <t>Parcial</t>
  </si>
  <si>
    <t>Acum.</t>
  </si>
  <si>
    <t>Pasa</t>
  </si>
  <si>
    <t>AG - 4</t>
  </si>
  <si>
    <t>Aberturas</t>
  </si>
  <si>
    <t>AG - 5</t>
  </si>
  <si>
    <t>AG - 6</t>
  </si>
  <si>
    <t>AG - 7</t>
  </si>
  <si>
    <t>3"</t>
  </si>
  <si>
    <t>2 1/2"</t>
  </si>
  <si>
    <t>Pulg.</t>
  </si>
  <si>
    <t>mm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</si>
  <si>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</si>
  <si>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</si>
  <si>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</si>
  <si>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</si>
  <si>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</si>
  <si>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</si>
  <si>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</si>
  <si>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</si>
  <si>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</si>
  <si>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</si>
  <si>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L.L :</t>
  </si>
  <si>
    <t>NP</t>
  </si>
  <si>
    <t>Módulo de Fineza</t>
  </si>
  <si>
    <t>Clasificación AASHTO</t>
  </si>
  <si>
    <t>A-1-a (0)</t>
  </si>
  <si>
    <t>I.P :</t>
  </si>
  <si>
    <t>M.F. =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</si>
  <si>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</si>
  <si>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</si>
  <si>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</si>
  <si>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</si>
  <si>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</si>
  <si>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</si>
  <si>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11"/>
        <rFont val="Times New Roman"/>
        <family val="1"/>
      </rPr>
      <t xml:space="preserve"> :</t>
    </r>
  </si>
  <si>
    <t>El Material fue proporcionado y muestreado por el solicitante</t>
  </si>
  <si>
    <t>Gravedad Especifica y Absorcion de los Agregados</t>
  </si>
  <si>
    <t>NORMA   ASTM C-127/ MTC E 206-200</t>
  </si>
  <si>
    <t>Certificado N°</t>
  </si>
  <si>
    <t>55-14 / AG 09</t>
  </si>
  <si>
    <t xml:space="preserve">Ref. Proyecto </t>
  </si>
  <si>
    <t xml:space="preserve">Fecha de ensayo           </t>
  </si>
  <si>
    <t xml:space="preserve">Hecho por    </t>
  </si>
  <si>
    <t>Material</t>
  </si>
  <si>
    <t>AGREGADO FINO</t>
  </si>
  <si>
    <t>A</t>
  </si>
  <si>
    <t>Peso Mat. Sat. Sup. Seco ( en Aire ) (gr)</t>
  </si>
  <si>
    <t>B</t>
  </si>
  <si>
    <t>Peso Frasco + agua</t>
  </si>
  <si>
    <t>C</t>
  </si>
  <si>
    <t>Peso Frasco + agua + A (gr)</t>
  </si>
  <si>
    <t>D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</si>
  <si>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</si>
  <si>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</si>
  <si>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</si>
  <si>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</si>
  <si>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</si>
  <si>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</si>
  <si>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</si>
  <si>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</si>
  <si>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</si>
  <si>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</si>
  <si>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</si>
  <si>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</si>
  <si>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</si>
  <si>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</si>
  <si>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</si>
  <si>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</si>
  <si>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</si>
  <si>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</si>
  <si>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</si>
  <si>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</si>
  <si>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</si>
  <si>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</si>
  <si>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r>
      <rPr>
        <b/>
        <sz val="11"/>
        <rFont val="Times New Roman"/>
        <family val="1"/>
      </rPr>
      <t>WEB:</t>
    </r>
    <r>
      <rPr>
        <sz val="11"/>
        <rFont val="Times New Roman"/>
        <family val="1"/>
      </rPr>
      <t xml:space="preserve"> www.geofal.com.pe   </t>
    </r>
    <r>
      <rPr>
        <b/>
        <sz val="11"/>
        <rFont val="Times New Roman"/>
        <family val="1"/>
      </rPr>
      <t>E-MAIL:</t>
    </r>
    <r>
      <rPr>
        <sz val="11"/>
        <rFont val="Times New Roman"/>
        <family val="1"/>
      </rPr>
      <t xml:space="preserve"> geofal.sac@gmail.com / laboratorio@geofal.com.pe</t>
    </r>
  </si>
  <si>
    <t>Peso Unitario Suelto de los Agregados</t>
  </si>
  <si>
    <t>NORMA   ASTM C-29/ MTC E 203-200</t>
  </si>
  <si>
    <t>54-14 / AG 11</t>
  </si>
  <si>
    <t>DATOS DE LA MUESTRA</t>
  </si>
  <si>
    <t>Cantera</t>
  </si>
  <si>
    <t>Muestreo</t>
  </si>
  <si>
    <t>Prueba N°</t>
  </si>
  <si>
    <t>Peso del recipiente + suelo</t>
  </si>
  <si>
    <t>gr</t>
  </si>
  <si>
    <t xml:space="preserve">Peso del recipiente </t>
  </si>
  <si>
    <t>Peso del  suelo</t>
  </si>
  <si>
    <t>Volumen del Recipiente</t>
  </si>
  <si>
    <t>cm3</t>
  </si>
  <si>
    <t>Peso unitario  suelo</t>
  </si>
  <si>
    <t>Contenido de humedad</t>
  </si>
  <si>
    <t>Peso del  suelo Humedo</t>
  </si>
  <si>
    <t>PROMEDIO P.U.S</t>
  </si>
  <si>
    <t>Peso Unitario Compactado de los Agregados</t>
  </si>
  <si>
    <t>55-14 / AG 11</t>
  </si>
  <si>
    <t xml:space="preserve">Fecha de ensayo        </t>
  </si>
  <si>
    <t>Peso del recipiente + suelo Compactado</t>
  </si>
  <si>
    <t>Peso del  suelo Compactado</t>
  </si>
  <si>
    <t>Peso unitario  suelo Compactado</t>
  </si>
  <si>
    <t>Peso del  suelo Compactado Humedo</t>
  </si>
  <si>
    <t>PROMEDIO P.U.C</t>
  </si>
  <si>
    <t>CANTIDAD DE MATERIAL FINO QUE PASA POR EL TAMIZ (Nº 200)</t>
  </si>
  <si>
    <t>MTC E- 202-1999 -AASTHO T 11</t>
  </si>
  <si>
    <t>LABORATORIO MECANICA DE SUELOS, CONCRETOS Y PAVIMENTOS</t>
  </si>
  <si>
    <t>Obra</t>
  </si>
  <si>
    <t>Grava 1" Triturada para Concreto</t>
  </si>
  <si>
    <t>DATOS DEL MATERIAL</t>
  </si>
  <si>
    <t>Hecho Por</t>
  </si>
  <si>
    <t>Revisado</t>
  </si>
  <si>
    <t>Fecha</t>
  </si>
  <si>
    <t>Grupo Olano</t>
  </si>
  <si>
    <t>Acopio-Planta</t>
  </si>
  <si>
    <t>RESULTADO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</si>
  <si>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</si>
  <si>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</si>
  <si>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</si>
  <si>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</si>
  <si>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DURABILIDAD AL SULFATO DE SODIO</t>
  </si>
  <si>
    <t>AASHTO T-104 (MTC E-209) ASTM C-88</t>
  </si>
  <si>
    <t>Mapacho</t>
  </si>
  <si>
    <t>Nº REGISTRO :</t>
  </si>
  <si>
    <t>TECNICO :</t>
  </si>
  <si>
    <t>ING.  RESP. :</t>
  </si>
  <si>
    <t>m.</t>
  </si>
  <si>
    <t>FECHA :</t>
  </si>
  <si>
    <t>SOLUCIÓN :</t>
  </si>
  <si>
    <r>
      <t>Na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SO</t>
    </r>
    <r>
      <rPr>
        <b/>
        <vertAlign val="subscript"/>
        <sz val="8"/>
        <rFont val="Arial"/>
        <family val="2"/>
      </rPr>
      <t>4</t>
    </r>
    <r>
      <rPr>
        <b/>
        <sz val="8"/>
        <rFont val="Arial"/>
        <family val="2"/>
      </rPr>
      <t xml:space="preserve"> </t>
    </r>
  </si>
  <si>
    <t>TABLA 1  DATOS DEL ENSAYO</t>
  </si>
  <si>
    <t>TAMIZ</t>
  </si>
  <si>
    <t>Peso de</t>
  </si>
  <si>
    <t>Tamaño</t>
  </si>
  <si>
    <t>Tamiz que</t>
  </si>
  <si>
    <t>Granulometria</t>
  </si>
  <si>
    <t>PESO DE FRACCION</t>
  </si>
  <si>
    <t xml:space="preserve"> Pasante después</t>
  </si>
  <si>
    <t>PERDIDA EN</t>
  </si>
  <si>
    <t>ASTM E-11</t>
  </si>
  <si>
    <t>fracción</t>
  </si>
  <si>
    <t>del</t>
  </si>
  <si>
    <t>determina</t>
  </si>
  <si>
    <t>original retenido</t>
  </si>
  <si>
    <t>Antes del</t>
  </si>
  <si>
    <t xml:space="preserve">Después </t>
  </si>
  <si>
    <t>del ensayo</t>
  </si>
  <si>
    <t>PESO</t>
  </si>
  <si>
    <t>árido</t>
  </si>
  <si>
    <t>pérdida</t>
  </si>
  <si>
    <t>%</t>
  </si>
  <si>
    <t>ensayo</t>
  </si>
  <si>
    <t>INTEMPRERISMO DEL AGREGADO GRUESO</t>
  </si>
  <si>
    <t>Nº 4</t>
  </si>
  <si>
    <t>TOTALES</t>
  </si>
  <si>
    <t>INTEMPERISMO DEL AGREGADO FINO</t>
  </si>
  <si>
    <t>Nº 8</t>
  </si>
  <si>
    <t>Nº 16</t>
  </si>
  <si>
    <t>Nº 30</t>
  </si>
  <si>
    <t>Nº 50</t>
  </si>
  <si>
    <t>&lt; Nº 100</t>
  </si>
  <si>
    <t>TABLA 2    EXAMEN CUALITATIVO DEL AGREGADO GRUESO</t>
  </si>
  <si>
    <t>FRACTURADAS</t>
  </si>
  <si>
    <t>FISURADAS</t>
  </si>
  <si>
    <t>ASTILLADAS</t>
  </si>
  <si>
    <t>EXFOLIADAS</t>
  </si>
  <si>
    <t>PARTICULAS ANTES</t>
  </si>
  <si>
    <t>Nº</t>
  </si>
  <si>
    <t>DEL ENSAYO</t>
  </si>
  <si>
    <t>OBSERVACIONES:</t>
  </si>
  <si>
    <t>Ciclos:</t>
  </si>
  <si>
    <t>Fecha de inicio de ensayo:</t>
  </si>
  <si>
    <t>Fecha final de ensayo:</t>
  </si>
  <si>
    <t>Densidad de solución</t>
  </si>
  <si>
    <t>gr/l</t>
  </si>
  <si>
    <t>Temperatura de solución        ºC</t>
  </si>
  <si>
    <r>
      <t>Peso de Na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SO</t>
    </r>
    <r>
      <rPr>
        <vertAlign val="subscript"/>
        <sz val="8"/>
        <rFont val="Arial"/>
        <family val="2"/>
      </rPr>
      <t>4</t>
    </r>
    <r>
      <rPr>
        <sz val="8"/>
        <rFont val="Arial"/>
        <family val="2"/>
      </rPr>
      <t>*litro               gr</t>
    </r>
  </si>
  <si>
    <t>LABORATORIO DE ENSAYO DE MATERIALES</t>
  </si>
  <si>
    <t>CLIENTE</t>
  </si>
  <si>
    <t xml:space="preserve">                 CÓDIGO</t>
  </si>
  <si>
    <t>F-LEM-P-AG-23.02</t>
  </si>
  <si>
    <t>DIRECCIÓN **</t>
  </si>
  <si>
    <t>PROYECTO **</t>
  </si>
  <si>
    <t>FECHA EMISIÓN</t>
  </si>
  <si>
    <t>UBICACIÓN **</t>
  </si>
  <si>
    <t>** Datos proporcionados por el cliente</t>
  </si>
  <si>
    <t>Standard Test Method for Materials Finer than 75-µm (No. 200)                                                                                                Sieve in Mineral Aggregates by Washing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</si>
  <si>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</si>
  <si>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</si>
  <si>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</si>
  <si>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</si>
  <si>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</si>
  <si>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</si>
  <si>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</si>
  <si>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</si>
  <si>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Und.</t>
  </si>
  <si>
    <t>DATOS</t>
  </si>
  <si>
    <t>Masa seca original de la muestra</t>
  </si>
  <si>
    <t>g</t>
  </si>
  <si>
    <t>Masa seca de la muestra después del lavado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</si>
  <si>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                              (No. 200) por lavado</t>
    </r>
  </si>
  <si>
    <t>Condiciones del ensayo:</t>
  </si>
  <si>
    <t xml:space="preserve">Se utilizó el procedimiento: </t>
  </si>
  <si>
    <t>Nota:</t>
  </si>
  <si>
    <t>Observaciones:</t>
  </si>
  <si>
    <t>Fin del Informe</t>
  </si>
  <si>
    <t>Página 1 de 1</t>
  </si>
  <si>
    <t>Standard Test Method for Materials Finer than 75-µm (No. 200) Sieve in Mineral Aggregates by Washing</t>
  </si>
  <si>
    <t>Informacion para la Correccion por Certificado de Calibración:</t>
  </si>
  <si>
    <t>Precision de la balanza al 0.1 g</t>
  </si>
  <si>
    <t xml:space="preserve">CODIGO </t>
  </si>
  <si>
    <t>DESCRIPCION</t>
  </si>
  <si>
    <t>CORRECCION</t>
  </si>
  <si>
    <t>Masa del recipiente</t>
  </si>
  <si>
    <t>Masa del recipiente+ muestra seca</t>
  </si>
  <si>
    <t>Masa del recipiente+ muestra seca constante</t>
  </si>
  <si>
    <t>Agregado</t>
  </si>
  <si>
    <t>masa del recipiente +  muestra seca despues del lavado</t>
  </si>
  <si>
    <t>masa del recipiente +  muestra seca despues del lavado, constante</t>
  </si>
  <si>
    <t>Ag. Fino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</si>
  <si>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(N° 200) por lavado</t>
    </r>
  </si>
  <si>
    <t>Ag. Grueso</t>
  </si>
  <si>
    <t>*Reportar el resultado al 0.1% mas cercano, excepto cuando el resultado sea mayor a 10%, entonces reportar al entero mas cercano.</t>
  </si>
  <si>
    <t>LA MASA DE LA MUESTRA DE ENSAYO DESPUES DEL SECADO, DEBE CUMPLIR CON LA MASA MINIMA:</t>
  </si>
  <si>
    <t>Tamaño maximo nominal</t>
  </si>
  <si>
    <t>Peso mínimo
(g)</t>
  </si>
  <si>
    <t xml:space="preserve">Balanza </t>
  </si>
  <si>
    <t>No. 4 o menos</t>
  </si>
  <si>
    <t>Mas grande No. 4 hasta 3/8</t>
  </si>
  <si>
    <t>Mas grande 3/8 hasta 3/4</t>
  </si>
  <si>
    <t>Mas grande 3/4</t>
  </si>
  <si>
    <t>Masa de la muestra ensayada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</si>
  <si>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</si>
  <si>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</si>
  <si>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</si>
  <si>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</si>
  <si>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</si>
  <si>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</si>
  <si>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</si>
  <si>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</si>
  <si>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</si>
  <si>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</si>
  <si>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Material que pasa el tamiz de 75-µm (No. 200) en agregados mediante lavado</t>
  </si>
  <si>
    <t>Variables:</t>
  </si>
  <si>
    <t>A = porcentaje de material más fino que un tamiz de 75 μm (No. 200) por lavado</t>
  </si>
  <si>
    <t>B = masa seca original de la muestra, g</t>
  </si>
  <si>
    <t>C = masa seca de la muestra después del lavado, g</t>
  </si>
  <si>
    <t>Fórmula:</t>
  </si>
  <si>
    <t xml:space="preserve"> </t>
  </si>
  <si>
    <t>Equipos a utilizar:</t>
  </si>
  <si>
    <t>Balanza con resolución de lectura de 0.1g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</si>
  <si>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</si>
  <si>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</si>
  <si>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</si>
  <si>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</si>
  <si>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</si>
  <si>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</si>
  <si>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</si>
  <si>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</si>
  <si>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</si>
  <si>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</si>
  <si>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Malla No. 200 (%)</t>
  </si>
  <si>
    <t>---</t>
  </si>
  <si>
    <t>Masa seca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</si>
  <si>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</si>
  <si>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</si>
  <si>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</si>
  <si>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</si>
  <si>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</si>
  <si>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</si>
  <si>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Masa  lavado seca</t>
  </si>
  <si>
    <t>factor de presición</t>
  </si>
  <si>
    <t>Norma, K=1</t>
  </si>
  <si>
    <t>Incertidumbre Estándar Combinada</t>
  </si>
  <si>
    <t>Incertidumbre Expandida, K = 2</t>
  </si>
  <si>
    <t>Factor de Influencia</t>
  </si>
  <si>
    <t xml:space="preserve">% </t>
  </si>
  <si>
    <t>CALIBRACION DE LA BALANZA</t>
  </si>
  <si>
    <t>Correccion</t>
  </si>
  <si>
    <t>Variables</t>
  </si>
  <si>
    <t>Ecuacion</t>
  </si>
  <si>
    <t>Resolucion</t>
  </si>
  <si>
    <t xml:space="preserve">Codigo </t>
  </si>
  <si>
    <t>EQP-0046</t>
  </si>
  <si>
    <t>ITEM</t>
  </si>
  <si>
    <t>MES</t>
  </si>
  <si>
    <t>DESV STD</t>
  </si>
  <si>
    <t>Busqueda de Repetibilidad de la masa</t>
  </si>
  <si>
    <t>DATOS DEL ENSAYO</t>
  </si>
  <si>
    <t>Masa de la muestra seca constante(g)</t>
  </si>
  <si>
    <t>Masa de la muestra lavada y seca constante(g)</t>
  </si>
  <si>
    <t>Fecha de evaluacion:</t>
  </si>
  <si>
    <t>1-Calcular la Incertidumbre estandar bajo condiciones de reproducibilidad Malla No. 200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</si>
  <si>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</si>
  <si>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</si>
  <si>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</si>
  <si>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</si>
  <si>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</si>
  <si>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</si>
  <si>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</si>
  <si>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</si>
  <si>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</si>
  <si>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</si>
  <si>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PARTICULAS CHATAS Y ALARGADAS EN AGREGADO GRUESO</t>
  </si>
  <si>
    <t>MTC E221 - ASTM  D 4791-89</t>
  </si>
  <si>
    <t>Estructura</t>
  </si>
  <si>
    <t>HECHO POR    :</t>
  </si>
  <si>
    <t>Muestra</t>
  </si>
  <si>
    <t>Planta</t>
  </si>
  <si>
    <t>REVISADO      :</t>
  </si>
  <si>
    <t>PARTICULAS CHATAS</t>
  </si>
  <si>
    <t>PARTICULAS ALARGADAS</t>
  </si>
  <si>
    <t>PASA</t>
  </si>
  <si>
    <t>RETIENE</t>
  </si>
  <si>
    <t>PIEZAS</t>
  </si>
  <si>
    <t>grs.</t>
  </si>
  <si>
    <t xml:space="preserve">CONTENIDO </t>
  </si>
  <si>
    <t>TOTAL DE PARTICULAS CHATAS Y ALARGADAS</t>
  </si>
  <si>
    <t>ESPECIFICACION DE OBRA  (Máximo)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</si>
  <si>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</si>
  <si>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</si>
  <si>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</si>
  <si>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</si>
  <si>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</si>
  <si>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</si>
  <si>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</si>
  <si>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</si>
  <si>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</si>
  <si>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</si>
  <si>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</si>
  <si>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</si>
  <si>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</si>
  <si>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</si>
  <si>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</si>
  <si>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</si>
  <si>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</si>
  <si>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</si>
  <si>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</si>
  <si>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</si>
  <si>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</si>
  <si>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</si>
  <si>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</si>
  <si>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</si>
  <si>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</si>
  <si>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</si>
  <si>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</si>
  <si>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</si>
  <si>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</si>
  <si>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</si>
  <si>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</si>
  <si>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</si>
  <si>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</si>
  <si>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</si>
  <si>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</si>
  <si>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</si>
  <si>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</si>
  <si>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</si>
  <si>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</si>
  <si>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</si>
  <si>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</si>
  <si>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</si>
  <si>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</si>
  <si>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</si>
  <si>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</si>
  <si>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</si>
  <si>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</si>
  <si>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</si>
  <si>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</si>
  <si>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</si>
  <si>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</si>
  <si>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</si>
  <si>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</si>
  <si>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</si>
  <si>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</si>
  <si>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</si>
  <si>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</si>
  <si>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</si>
  <si>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</si>
  <si>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</si>
  <si>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</si>
  <si>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</si>
  <si>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</si>
  <si>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</si>
  <si>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</si>
  <si>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</si>
  <si>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</si>
  <si>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</si>
  <si>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</si>
  <si>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</si>
  <si>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</si>
  <si>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</si>
  <si>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</si>
  <si>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</si>
  <si>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</si>
  <si>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</si>
  <si>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</si>
  <si>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</si>
  <si>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</si>
  <si>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</si>
  <si>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</si>
  <si>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</si>
  <si>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</si>
  <si>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</si>
  <si>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</si>
  <si>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</si>
  <si>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</si>
  <si>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</si>
  <si>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</si>
  <si>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</si>
  <si>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</si>
  <si>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</si>
  <si>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</si>
  <si>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</si>
  <si>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</si>
  <si>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</si>
  <si>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</si>
  <si>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</si>
  <si>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</si>
  <si>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</si>
  <si>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</si>
  <si>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</si>
  <si>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</si>
  <si>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</si>
  <si>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</si>
  <si>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</si>
  <si>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</si>
  <si>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</si>
  <si>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</si>
  <si>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</si>
  <si>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</si>
  <si>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</si>
  <si>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</si>
  <si>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</si>
  <si>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</si>
  <si>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</si>
  <si>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</si>
  <si>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</si>
  <si>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</si>
  <si>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</si>
  <si>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</si>
  <si>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</si>
  <si>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</si>
  <si>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</si>
  <si>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</si>
  <si>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</si>
  <si>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</si>
  <si>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</si>
  <si>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</si>
  <si>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</si>
  <si>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</si>
  <si>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</si>
  <si>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</si>
  <si>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</si>
  <si>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</si>
  <si>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</si>
  <si>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</si>
  <si>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</si>
  <si>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</si>
  <si>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</si>
  <si>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</si>
  <si>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</si>
  <si>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</si>
  <si>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</si>
  <si>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</si>
  <si>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</si>
  <si>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</si>
  <si>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</si>
  <si>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</si>
  <si>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</si>
  <si>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</si>
  <si>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</si>
  <si>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</si>
  <si>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</si>
  <si>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</si>
  <si>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</si>
  <si>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</si>
  <si>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</si>
  <si>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</si>
  <si>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</si>
  <si>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</si>
  <si>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</si>
  <si>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</si>
  <si>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</si>
  <si>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</si>
  <si>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</si>
  <si>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</si>
  <si>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</si>
  <si>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</si>
  <si>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</si>
  <si>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</si>
  <si>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</si>
  <si>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</si>
  <si>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</si>
  <si>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</si>
  <si>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</si>
  <si>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</si>
  <si>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</si>
  <si>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</si>
  <si>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</si>
  <si>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</si>
  <si>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</si>
  <si>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</si>
  <si>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</si>
  <si>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</si>
  <si>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PORCENTAJE DE CARAS FRACTURADAS EN LOS AGREGADOS</t>
  </si>
  <si>
    <t>MTC E- 210-1999</t>
  </si>
  <si>
    <t>OBRA</t>
  </si>
  <si>
    <t>FECHA</t>
  </si>
  <si>
    <t>Cantero</t>
  </si>
  <si>
    <t>Con dos o más Caras fracturadas</t>
  </si>
  <si>
    <t>Tamaño del Agregado</t>
  </si>
  <si>
    <t>Pasa Tamiz</t>
  </si>
  <si>
    <t>Retenido T.</t>
  </si>
  <si>
    <t>(g)</t>
  </si>
  <si>
    <t>( B/A)*100)</t>
  </si>
  <si>
    <t>% Parcial</t>
  </si>
  <si>
    <t>CxD</t>
  </si>
  <si>
    <t>Observaciones</t>
  </si>
  <si>
    <t>Total:</t>
  </si>
  <si>
    <t xml:space="preserve">Porcentaje con dos o más caras fracturadas   =          </t>
  </si>
  <si>
    <t>TOTAL E</t>
  </si>
  <si>
    <t>TOTAL D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</si>
  <si>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</si>
  <si>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</si>
  <si>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</si>
  <si>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</si>
  <si>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</si>
  <si>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</si>
  <si>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PORCENTAJE DE CHATAS Y ALARGADAS EN LOS AGREGADOS</t>
  </si>
  <si>
    <t xml:space="preserve">Porcentaje de chatas y alargadas             =          </t>
  </si>
  <si>
    <t>Perdida adicional de la masa seca original &lt; 0.1%</t>
  </si>
  <si>
    <t>Perdida adicional de la masa seca despues del lavado &lt; 0.1%</t>
  </si>
  <si>
    <t>-</t>
  </si>
  <si>
    <t>Descripción de la muestra:</t>
  </si>
  <si>
    <t>Tamaño máximo nominal (in)</t>
  </si>
  <si>
    <t>Forma de la particula</t>
  </si>
  <si>
    <t>OPERADORES</t>
  </si>
  <si>
    <t>TIPO DE MUESTRA</t>
  </si>
  <si>
    <t>RECEPCIÓN N°</t>
  </si>
  <si>
    <t xml:space="preserve"> ASTM C117-23</t>
  </si>
  <si>
    <t>Calibración</t>
  </si>
  <si>
    <t>FORMATO N° F-LEM-P-AG-23.01</t>
  </si>
  <si>
    <t>MUESTRA</t>
  </si>
  <si>
    <t>N° OT</t>
  </si>
  <si>
    <t>FECHA DE ENSAYO</t>
  </si>
  <si>
    <t>REALIZADO</t>
  </si>
  <si>
    <t>Standard Test Method for Materials Finer than 75-μm (No. 200) Sieve in Mineral Aggregates by Washing</t>
  </si>
  <si>
    <t>Marca con "X"</t>
  </si>
  <si>
    <t xml:space="preserve">Procedimiento A: lavado con agua </t>
  </si>
  <si>
    <t>Tamaño máximo nominal muestra (visual) (in):</t>
  </si>
  <si>
    <t>Procedimiento B: lavado con agente humectante</t>
  </si>
  <si>
    <t>UND.</t>
  </si>
  <si>
    <t>(C - A)</t>
  </si>
  <si>
    <t>(F - A)</t>
  </si>
  <si>
    <t>H</t>
  </si>
  <si>
    <t>(D-G)/D*100</t>
  </si>
  <si>
    <t>Perdida adicional de la masa seca &lt;1%</t>
  </si>
  <si>
    <t>Equipo utilizado</t>
  </si>
  <si>
    <t>Código</t>
  </si>
  <si>
    <t>Tamaño máximo nominal</t>
  </si>
  <si>
    <t>Balanza 0.1 g</t>
  </si>
  <si>
    <t>Horno 110ºC</t>
  </si>
  <si>
    <t>Más grande No. 4 hasta 3/8 in</t>
  </si>
  <si>
    <t>Tamiz No. 200</t>
  </si>
  <si>
    <t>Más grande 3/8 in hasta 3/4 in</t>
  </si>
  <si>
    <t>Tamiz No. 16</t>
  </si>
  <si>
    <t>Más grande 3/4 in</t>
  </si>
  <si>
    <t>Fuente: Elaboración propia en base a la Norma ASTM C117-23.</t>
  </si>
  <si>
    <t>Versión: 04 (01-02-2024)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</si>
  <si>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</si>
  <si>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</si>
  <si>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"A" lavado con agua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</si>
  <si>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</si>
  <si>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</si>
  <si>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</si>
  <si>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</si>
  <si>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</si>
  <si>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</si>
  <si>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</si>
  <si>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</si>
  <si>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</si>
  <si>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</si>
  <si>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</si>
  <si>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</si>
  <si>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2*RAIZ(0.00416+0.000000000243*R2)</t>
  </si>
  <si>
    <t>FACTOR DE PRECISION DEL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</si>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</sst>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dd\-mm\-yy;@"/>
    <numFmt numFmtId="170" formatCode="#,##0.000"/>
    <numFmt numFmtId="171" formatCode="##\+###"/>
    <numFmt numFmtId="172" formatCode="\L\ \-\ 0000"/>
    <numFmt numFmtId="173" formatCode="dd\-mmm\-yyyy"/>
    <numFmt numFmtId="174" formatCode="[$-C0A]d\-mmm\-yy;@"/>
    <numFmt numFmtId="175" formatCode="00\+000"/>
    <numFmt numFmtId="176" formatCode="0.00000"/>
    <numFmt numFmtId="177" formatCode="&quot;0&quot;0"/>
    <numFmt numFmtId="178" formatCode="0.0000000"/>
    <numFmt numFmtId="179" formatCode="0.000000"/>
    <numFmt numFmtId="180" formatCode="yyyy\-mm\-dd;@"/>
    <numFmt numFmtId="181" formatCode="&quot;INFORME DE ENSAYO N°&quot;000&quot;-26 AG23&quot;"/>
    <numFmt numFmtId="182" formatCode="000\-\ &quot;26&quot;"/>
    <numFmt numFmtId="183" formatCode="000&quot;-AG-26&quot;"/>
    <numFmt numFmtId="184" formatCode="&quot;FORMATO F-LEM-P-SU-11.01&quot;"/>
  </numFmts>
  <fonts count="15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Courier New"/>
      <family val="3"/>
    </font>
    <font>
      <b/>
      <sz val="15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0"/>
      <name val="Univers (W1)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indexed="6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sz val="9"/>
      <color indexed="18"/>
      <name val="Arial"/>
      <family val="2"/>
    </font>
    <font>
      <u/>
      <sz val="8"/>
      <name val="Arial"/>
      <family val="2"/>
    </font>
    <font>
      <sz val="8"/>
      <color indexed="9"/>
      <name val="Arial"/>
      <family val="2"/>
    </font>
    <font>
      <b/>
      <vertAlign val="subscript"/>
      <sz val="8"/>
      <name val="Arial"/>
      <family val="2"/>
    </font>
    <font>
      <b/>
      <u/>
      <sz val="9"/>
      <name val="Arial"/>
      <family val="2"/>
    </font>
    <font>
      <vertAlign val="subscript"/>
      <sz val="8"/>
      <name val="Arial"/>
      <family val="2"/>
    </font>
    <font>
      <i/>
      <sz val="8"/>
      <color indexed="12"/>
      <name val="Arial"/>
      <family val="2"/>
    </font>
    <font>
      <i/>
      <sz val="6"/>
      <color indexed="12"/>
      <name val="Arial"/>
      <family val="2"/>
    </font>
    <font>
      <i/>
      <sz val="10"/>
      <name val="Arial"/>
      <family val="2"/>
    </font>
    <font>
      <i/>
      <u/>
      <sz val="7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i/>
      <sz val="7"/>
      <color indexed="12"/>
      <name val="Arial"/>
      <family val="2"/>
    </font>
    <font>
      <b/>
      <sz val="11"/>
      <color rgb="FF000000"/>
      <name val="Copperplate Gothic Bold"/>
      <family val="2"/>
    </font>
    <font>
      <sz val="12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sz val="10.5"/>
      <color rgb="FF000000"/>
      <name val="Copperplate Gothic Bold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1"/>
      <color indexed="18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indexed="9"/>
      <name val="Arial"/>
      <family val="2"/>
    </font>
    <font>
      <b/>
      <sz val="11"/>
      <name val="Engravers MT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indexed="9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i/>
      <sz val="11"/>
      <name val="Times New Roman"/>
      <family val="1"/>
    </font>
    <font>
      <u/>
      <sz val="11"/>
      <name val="Times New Roman"/>
      <family val="1"/>
    </font>
    <font>
      <b/>
      <sz val="11"/>
      <color indexed="18"/>
      <name val="Times New Roman"/>
      <family val="1"/>
    </font>
    <font>
      <i/>
      <sz val="11"/>
      <name val="Times New Roman"/>
      <family val="1"/>
    </font>
    <font>
      <sz val="11"/>
      <color indexed="18"/>
      <name val="Times New Roman"/>
      <family val="1"/>
    </font>
    <font>
      <b/>
      <sz val="11"/>
      <color indexed="12"/>
      <name val="Times New Roman"/>
      <family val="1"/>
    </font>
    <font>
      <sz val="11"/>
      <color indexed="12"/>
      <name val="Times New Roman"/>
      <family val="1"/>
    </font>
    <font>
      <b/>
      <sz val="11"/>
      <color rgb="FF000000"/>
      <name val="Times New Roman"/>
      <family val="1"/>
    </font>
    <font>
      <b/>
      <i/>
      <u/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0"/>
      <name val="Times New Roman"/>
      <family val="1"/>
    </font>
    <font>
      <b/>
      <sz val="11"/>
      <color theme="0"/>
      <name val="Times New Roman"/>
      <family val="1"/>
    </font>
    <font>
      <sz val="11"/>
      <color rgb="FF0000FF"/>
      <name val="Times New Roman"/>
      <family val="1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8"/>
      <color theme="1"/>
      <name val="Times New Roman"/>
      <family val="1"/>
    </font>
    <font>
      <sz val="10"/>
      <color rgb="FFFF0000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sz val="9"/>
      <name val="Calibri"/>
      <family val="2"/>
    </font>
    <font>
      <b/>
      <sz val="9"/>
      <color rgb="FF0000FF"/>
      <name val="Arial"/>
      <family val="2"/>
    </font>
    <font>
      <sz val="9"/>
      <color rgb="FF00B0F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u/>
      <sz val="9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9">
    <border>
      <left/>
      <right/>
      <top/>
      <bottom/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7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00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731">
    <xf numFmtId="0" fontId="0" fillId="0" borderId="0" xfId="0"/>
    <xf numFmtId="0" fontId="0" fillId="3" borderId="0" xfId="0" applyFill="1"/>
    <xf numFmtId="0" fontId="6" fillId="3" borderId="0" xfId="0" applyFont="1" applyFill="1"/>
    <xf numFmtId="0" fontId="10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4" fillId="3" borderId="0" xfId="0" applyFont="1" applyFill="1"/>
    <xf numFmtId="0" fontId="15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7" fillId="4" borderId="0" xfId="0" applyFont="1" applyFill="1" applyAlignment="1">
      <alignment horizontal="right"/>
    </xf>
    <xf numFmtId="2" fontId="17" fillId="4" borderId="0" xfId="0" applyNumberFormat="1" applyFont="1" applyFill="1" applyAlignment="1">
      <alignment horizontal="left"/>
    </xf>
    <xf numFmtId="2" fontId="17" fillId="4" borderId="0" xfId="0" quotePrefix="1" applyNumberFormat="1" applyFont="1" applyFill="1" applyAlignment="1">
      <alignment horizontal="left"/>
    </xf>
    <xf numFmtId="0" fontId="18" fillId="0" borderId="0" xfId="0" applyFont="1" applyAlignment="1">
      <alignment horizontal="center"/>
    </xf>
    <xf numFmtId="0" fontId="19" fillId="4" borderId="0" xfId="0" applyFont="1" applyFill="1"/>
    <xf numFmtId="0" fontId="20" fillId="7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25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vertical="center" wrapText="1"/>
    </xf>
    <xf numFmtId="0" fontId="25" fillId="3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vertical="center" wrapText="1"/>
    </xf>
    <xf numFmtId="0" fontId="26" fillId="3" borderId="12" xfId="0" applyFont="1" applyFill="1" applyBorder="1" applyAlignment="1">
      <alignment vertical="center"/>
    </xf>
    <xf numFmtId="0" fontId="26" fillId="3" borderId="12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vertical="center" wrapText="1"/>
    </xf>
    <xf numFmtId="0" fontId="27" fillId="8" borderId="12" xfId="0" applyFont="1" applyFill="1" applyBorder="1" applyAlignment="1">
      <alignment vertical="center"/>
    </xf>
    <xf numFmtId="0" fontId="27" fillId="8" borderId="12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30" fillId="9" borderId="12" xfId="0" applyFont="1" applyFill="1" applyBorder="1" applyAlignment="1">
      <alignment vertical="center" wrapText="1"/>
    </xf>
    <xf numFmtId="0" fontId="30" fillId="9" borderId="14" xfId="0" applyFont="1" applyFill="1" applyBorder="1" applyAlignment="1">
      <alignment vertical="center" wrapText="1"/>
    </xf>
    <xf numFmtId="0" fontId="31" fillId="4" borderId="0" xfId="0" applyFont="1" applyFill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vertical="center" wrapText="1"/>
    </xf>
    <xf numFmtId="0" fontId="17" fillId="10" borderId="11" xfId="0" applyFont="1" applyFill="1" applyBorder="1" applyAlignment="1">
      <alignment horizontal="center" vertical="center"/>
    </xf>
    <xf numFmtId="0" fontId="28" fillId="11" borderId="15" xfId="0" applyFont="1" applyFill="1" applyBorder="1"/>
    <xf numFmtId="0" fontId="28" fillId="11" borderId="16" xfId="0" applyFont="1" applyFill="1" applyBorder="1"/>
    <xf numFmtId="0" fontId="32" fillId="10" borderId="17" xfId="0" applyFont="1" applyFill="1" applyBorder="1" applyAlignment="1">
      <alignment horizontal="center"/>
    </xf>
    <xf numFmtId="0" fontId="33" fillId="10" borderId="18" xfId="0" applyFont="1" applyFill="1" applyBorder="1"/>
    <xf numFmtId="0" fontId="10" fillId="4" borderId="0" xfId="0" applyFont="1" applyFill="1"/>
    <xf numFmtId="0" fontId="34" fillId="4" borderId="0" xfId="0" applyFont="1" applyFill="1" applyAlignment="1">
      <alignment horizontal="center"/>
    </xf>
    <xf numFmtId="0" fontId="3" fillId="4" borderId="0" xfId="0" applyFont="1" applyFill="1"/>
    <xf numFmtId="0" fontId="21" fillId="4" borderId="0" xfId="0" applyFont="1" applyFill="1" applyAlignment="1">
      <alignment horizontal="center"/>
    </xf>
    <xf numFmtId="0" fontId="3" fillId="0" borderId="0" xfId="0" applyFont="1"/>
    <xf numFmtId="164" fontId="21" fillId="0" borderId="0" xfId="0" applyNumberFormat="1" applyFont="1"/>
    <xf numFmtId="165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5" fontId="5" fillId="0" borderId="19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4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49" fontId="34" fillId="12" borderId="0" xfId="0" applyNumberFormat="1" applyFont="1" applyFill="1" applyAlignment="1">
      <alignment horizontal="left" vertical="center"/>
    </xf>
    <xf numFmtId="49" fontId="3" fillId="12" borderId="0" xfId="0" applyNumberFormat="1" applyFont="1" applyFill="1" applyAlignment="1">
      <alignment horizontal="center" vertical="center"/>
    </xf>
    <xf numFmtId="49" fontId="3" fillId="12" borderId="0" xfId="0" applyNumberFormat="1" applyFont="1" applyFill="1" applyAlignment="1">
      <alignment horizontal="left" vertical="center"/>
    </xf>
    <xf numFmtId="0" fontId="0" fillId="12" borderId="20" xfId="0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0" fillId="12" borderId="22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0" fillId="12" borderId="23" xfId="0" applyFill="1" applyBorder="1" applyAlignment="1">
      <alignment vertical="center"/>
    </xf>
    <xf numFmtId="0" fontId="0" fillId="12" borderId="24" xfId="0" applyFill="1" applyBorder="1" applyAlignment="1">
      <alignment vertical="center"/>
    </xf>
    <xf numFmtId="0" fontId="0" fillId="12" borderId="13" xfId="0" applyFill="1" applyBorder="1" applyAlignment="1">
      <alignment vertical="center"/>
    </xf>
    <xf numFmtId="0" fontId="0" fillId="12" borderId="13" xfId="0" applyFill="1" applyBorder="1" applyAlignment="1">
      <alignment horizontal="center" vertical="center"/>
    </xf>
    <xf numFmtId="0" fontId="0" fillId="12" borderId="25" xfId="0" applyFill="1" applyBorder="1" applyAlignment="1">
      <alignment vertical="center"/>
    </xf>
    <xf numFmtId="16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164" fontId="0" fillId="12" borderId="26" xfId="0" applyNumberFormat="1" applyFill="1" applyBorder="1" applyAlignment="1">
      <alignment horizontal="center" vertical="center"/>
    </xf>
    <xf numFmtId="2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vertical="center"/>
    </xf>
    <xf numFmtId="0" fontId="0" fillId="12" borderId="27" xfId="0" applyFill="1" applyBorder="1" applyAlignment="1">
      <alignment horizontal="center" vertical="center"/>
    </xf>
    <xf numFmtId="0" fontId="0" fillId="12" borderId="28" xfId="0" applyFill="1" applyBorder="1" applyAlignment="1">
      <alignment vertical="center"/>
    </xf>
    <xf numFmtId="0" fontId="0" fillId="12" borderId="27" xfId="0" applyFill="1" applyBorder="1" applyAlignment="1">
      <alignment vertical="center"/>
    </xf>
    <xf numFmtId="164" fontId="21" fillId="12" borderId="11" xfId="0" applyNumberFormat="1" applyFont="1" applyFill="1" applyBorder="1" applyAlignment="1">
      <alignment horizontal="center" vertical="center"/>
    </xf>
    <xf numFmtId="164" fontId="21" fillId="12" borderId="22" xfId="0" applyNumberFormat="1" applyFont="1" applyFill="1" applyBorder="1" applyAlignment="1">
      <alignment horizontal="center" vertical="center"/>
    </xf>
    <xf numFmtId="164" fontId="21" fillId="12" borderId="0" xfId="0" applyNumberFormat="1" applyFont="1" applyFill="1" applyAlignment="1">
      <alignment horizontal="center" vertical="center"/>
    </xf>
    <xf numFmtId="0" fontId="0" fillId="12" borderId="29" xfId="0" applyFill="1" applyBorder="1" applyAlignment="1">
      <alignment vertical="center"/>
    </xf>
    <xf numFmtId="0" fontId="0" fillId="12" borderId="0" xfId="0" applyFill="1"/>
    <xf numFmtId="0" fontId="21" fillId="12" borderId="0" xfId="0" applyFont="1" applyFill="1"/>
    <xf numFmtId="0" fontId="47" fillId="12" borderId="0" xfId="0" applyFont="1" applyFill="1"/>
    <xf numFmtId="0" fontId="3" fillId="12" borderId="30" xfId="0" applyFont="1" applyFill="1" applyBorder="1" applyAlignment="1">
      <alignment horizontal="left" vertical="center"/>
    </xf>
    <xf numFmtId="0" fontId="3" fillId="12" borderId="31" xfId="0" applyFont="1" applyFill="1" applyBorder="1" applyAlignment="1">
      <alignment horizontal="left" vertical="center"/>
    </xf>
    <xf numFmtId="166" fontId="3" fillId="12" borderId="31" xfId="0" applyNumberFormat="1" applyFont="1" applyFill="1" applyBorder="1" applyAlignment="1">
      <alignment horizontal="left" vertical="center"/>
    </xf>
    <xf numFmtId="0" fontId="34" fillId="12" borderId="0" xfId="0" applyFont="1" applyFill="1" applyAlignment="1">
      <alignment horizontal="left" vertical="center"/>
    </xf>
    <xf numFmtId="164" fontId="0" fillId="12" borderId="27" xfId="0" applyNumberFormat="1" applyFill="1" applyBorder="1" applyAlignment="1">
      <alignment horizontal="center" vertical="center"/>
    </xf>
    <xf numFmtId="0" fontId="35" fillId="12" borderId="33" xfId="0" applyFont="1" applyFill="1" applyBorder="1" applyAlignment="1" applyProtection="1">
      <alignment horizontal="centerContinuous" vertical="center"/>
      <protection locked="0"/>
    </xf>
    <xf numFmtId="0" fontId="35" fillId="12" borderId="34" xfId="0" applyFont="1" applyFill="1" applyBorder="1" applyAlignment="1">
      <alignment horizontal="centerContinuous" vertical="center"/>
    </xf>
    <xf numFmtId="0" fontId="35" fillId="12" borderId="34" xfId="0" applyFont="1" applyFill="1" applyBorder="1" applyAlignment="1">
      <alignment vertical="center"/>
    </xf>
    <xf numFmtId="0" fontId="36" fillId="12" borderId="0" xfId="0" applyFont="1" applyFill="1" applyAlignment="1">
      <alignment horizontal="centerContinuous" vertical="center"/>
    </xf>
    <xf numFmtId="0" fontId="6" fillId="12" borderId="0" xfId="0" applyFont="1" applyFill="1"/>
    <xf numFmtId="0" fontId="37" fillId="12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vertical="center"/>
    </xf>
    <xf numFmtId="165" fontId="41" fillId="12" borderId="12" xfId="0" applyNumberFormat="1" applyFont="1" applyFill="1" applyBorder="1" applyAlignment="1" applyProtection="1">
      <alignment horizontal="center" vertical="center"/>
      <protection hidden="1"/>
    </xf>
    <xf numFmtId="0" fontId="50" fillId="12" borderId="0" xfId="0" applyFont="1" applyFill="1" applyAlignment="1">
      <alignment vertical="center"/>
    </xf>
    <xf numFmtId="2" fontId="37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0" fontId="42" fillId="12" borderId="0" xfId="0" applyFont="1" applyFill="1" applyAlignment="1">
      <alignment vertical="center"/>
    </xf>
    <xf numFmtId="164" fontId="39" fillId="12" borderId="0" xfId="0" applyNumberFormat="1" applyFont="1" applyFill="1" applyAlignment="1">
      <alignment vertical="center"/>
    </xf>
    <xf numFmtId="2" fontId="40" fillId="12" borderId="0" xfId="0" applyNumberFormat="1" applyFont="1" applyFill="1" applyAlignment="1" applyProtection="1">
      <alignment vertical="center"/>
      <protection locked="0"/>
    </xf>
    <xf numFmtId="2" fontId="37" fillId="12" borderId="0" xfId="0" applyNumberFormat="1" applyFont="1" applyFill="1" applyAlignment="1" applyProtection="1">
      <alignment vertical="center"/>
      <protection locked="0"/>
    </xf>
    <xf numFmtId="0" fontId="36" fillId="12" borderId="36" xfId="0" applyFont="1" applyFill="1" applyBorder="1" applyAlignment="1">
      <alignment vertical="center"/>
    </xf>
    <xf numFmtId="0" fontId="36" fillId="12" borderId="37" xfId="0" applyFont="1" applyFill="1" applyBorder="1" applyAlignment="1">
      <alignment vertical="center"/>
    </xf>
    <xf numFmtId="0" fontId="0" fillId="12" borderId="38" xfId="0" applyFill="1" applyBorder="1" applyAlignment="1">
      <alignment horizontal="centerContinuous" vertical="center"/>
    </xf>
    <xf numFmtId="0" fontId="0" fillId="12" borderId="39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0" xfId="0" applyFill="1" applyBorder="1" applyAlignment="1">
      <alignment horizontal="centerContinuous" vertical="center"/>
    </xf>
    <xf numFmtId="0" fontId="0" fillId="12" borderId="40" xfId="0" applyFill="1" applyBorder="1"/>
    <xf numFmtId="0" fontId="0" fillId="12" borderId="40" xfId="0" applyFill="1" applyBorder="1" applyAlignment="1">
      <alignment vertical="center"/>
    </xf>
    <xf numFmtId="0" fontId="0" fillId="12" borderId="37" xfId="0" applyFill="1" applyBorder="1" applyAlignment="1">
      <alignment vertical="center"/>
    </xf>
    <xf numFmtId="0" fontId="0" fillId="12" borderId="41" xfId="0" applyFill="1" applyBorder="1" applyAlignment="1">
      <alignment vertical="center"/>
    </xf>
    <xf numFmtId="2" fontId="51" fillId="12" borderId="12" xfId="0" applyNumberFormat="1" applyFont="1" applyFill="1" applyBorder="1" applyAlignment="1">
      <alignment horizontal="center" vertical="center"/>
    </xf>
    <xf numFmtId="2" fontId="40" fillId="12" borderId="0" xfId="0" applyNumberFormat="1" applyFont="1" applyFill="1" applyAlignment="1">
      <alignment horizontal="center" vertical="center"/>
    </xf>
    <xf numFmtId="164" fontId="40" fillId="12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3" fillId="12" borderId="37" xfId="0" applyFont="1" applyFill="1" applyBorder="1" applyAlignment="1">
      <alignment vertical="center"/>
    </xf>
    <xf numFmtId="0" fontId="45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0" fontId="0" fillId="12" borderId="43" xfId="0" applyFill="1" applyBorder="1" applyAlignment="1">
      <alignment horizontal="left" vertical="center"/>
    </xf>
    <xf numFmtId="0" fontId="47" fillId="12" borderId="43" xfId="0" applyFont="1" applyFill="1" applyBorder="1" applyAlignment="1">
      <alignment vertical="center"/>
    </xf>
    <xf numFmtId="49" fontId="47" fillId="12" borderId="44" xfId="0" applyNumberFormat="1" applyFont="1" applyFill="1" applyBorder="1" applyAlignment="1">
      <alignment vertical="center"/>
    </xf>
    <xf numFmtId="166" fontId="0" fillId="12" borderId="43" xfId="0" applyNumberFormat="1" applyFill="1" applyBorder="1" applyAlignment="1">
      <alignment horizontal="left" vertical="center"/>
    </xf>
    <xf numFmtId="49" fontId="47" fillId="12" borderId="0" xfId="0" applyNumberFormat="1" applyFont="1" applyFill="1" applyAlignment="1">
      <alignment vertical="center"/>
    </xf>
    <xf numFmtId="0" fontId="0" fillId="12" borderId="45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47" fillId="12" borderId="0" xfId="0" quotePrefix="1" applyNumberFormat="1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49" fontId="0" fillId="12" borderId="0" xfId="0" applyNumberFormat="1" applyFill="1" applyAlignment="1">
      <alignment horizontal="left" vertical="center"/>
    </xf>
    <xf numFmtId="0" fontId="53" fillId="12" borderId="12" xfId="0" applyFont="1" applyFill="1" applyBorder="1" applyAlignment="1">
      <alignment vertical="center"/>
    </xf>
    <xf numFmtId="0" fontId="51" fillId="12" borderId="12" xfId="0" quotePrefix="1" applyFont="1" applyFill="1" applyBorder="1" applyAlignment="1">
      <alignment horizontal="center" vertical="center"/>
    </xf>
    <xf numFmtId="0" fontId="0" fillId="12" borderId="46" xfId="0" applyFill="1" applyBorder="1" applyAlignment="1">
      <alignment horizontal="left" vertical="center"/>
    </xf>
    <xf numFmtId="0" fontId="0" fillId="12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12" borderId="48" xfId="0" applyFill="1" applyBorder="1" applyAlignment="1">
      <alignment vertical="center"/>
    </xf>
    <xf numFmtId="0" fontId="0" fillId="12" borderId="43" xfId="0" applyFill="1" applyBorder="1" applyAlignment="1">
      <alignment horizontal="center" vertical="center"/>
    </xf>
    <xf numFmtId="0" fontId="0" fillId="12" borderId="49" xfId="0" applyFill="1" applyBorder="1" applyAlignment="1">
      <alignment horizontal="center" vertical="center"/>
    </xf>
    <xf numFmtId="0" fontId="0" fillId="12" borderId="50" xfId="0" applyFill="1" applyBorder="1" applyAlignment="1">
      <alignment vertical="center"/>
    </xf>
    <xf numFmtId="2" fontId="0" fillId="12" borderId="44" xfId="0" applyNumberFormat="1" applyFill="1" applyBorder="1" applyAlignment="1">
      <alignment horizontal="center" vertical="center"/>
    </xf>
    <xf numFmtId="164" fontId="0" fillId="12" borderId="51" xfId="0" applyNumberFormat="1" applyFill="1" applyBorder="1" applyAlignment="1">
      <alignment horizontal="center" vertical="center"/>
    </xf>
    <xf numFmtId="0" fontId="21" fillId="12" borderId="50" xfId="0" applyFont="1" applyFill="1" applyBorder="1" applyAlignment="1">
      <alignment vertical="center"/>
    </xf>
    <xf numFmtId="0" fontId="0" fillId="12" borderId="51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12" borderId="53" xfId="0" applyFill="1" applyBorder="1" applyAlignment="1">
      <alignment vertical="center"/>
    </xf>
    <xf numFmtId="0" fontId="0" fillId="12" borderId="54" xfId="0" applyFill="1" applyBorder="1" applyAlignment="1">
      <alignment vertical="center"/>
    </xf>
    <xf numFmtId="0" fontId="21" fillId="12" borderId="0" xfId="0" applyFont="1" applyFill="1" applyAlignment="1">
      <alignment vertical="center"/>
    </xf>
    <xf numFmtId="0" fontId="48" fillId="12" borderId="0" xfId="0" applyFont="1" applyFill="1" applyAlignment="1">
      <alignment vertical="center"/>
    </xf>
    <xf numFmtId="18" fontId="47" fillId="13" borderId="0" xfId="0" applyNumberFormat="1" applyFont="1" applyFill="1" applyAlignment="1" applyProtection="1">
      <alignment horizontal="left" vertical="center"/>
      <protection locked="0"/>
    </xf>
    <xf numFmtId="0" fontId="47" fillId="13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left" vertical="center"/>
    </xf>
    <xf numFmtId="0" fontId="56" fillId="12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center" vertical="center"/>
    </xf>
    <xf numFmtId="0" fontId="57" fillId="12" borderId="0" xfId="0" applyFont="1" applyFill="1" applyAlignment="1" applyProtection="1">
      <alignment horizontal="center" vertical="center"/>
      <protection locked="0"/>
    </xf>
    <xf numFmtId="1" fontId="57" fillId="12" borderId="0" xfId="0" applyNumberFormat="1" applyFont="1" applyFill="1" applyAlignment="1" applyProtection="1">
      <alignment horizontal="center" vertical="center"/>
      <protection locked="0"/>
    </xf>
    <xf numFmtId="0" fontId="58" fillId="12" borderId="0" xfId="0" applyFont="1" applyFill="1" applyAlignment="1" applyProtection="1">
      <alignment horizontal="center" vertical="center"/>
      <protection locked="0"/>
    </xf>
    <xf numFmtId="168" fontId="56" fillId="12" borderId="0" xfId="0" applyNumberFormat="1" applyFont="1" applyFill="1" applyAlignment="1" applyProtection="1">
      <alignment horizontal="center" vertical="center"/>
      <protection locked="0"/>
    </xf>
    <xf numFmtId="165" fontId="56" fillId="12" borderId="0" xfId="0" applyNumberFormat="1" applyFont="1" applyFill="1" applyAlignment="1" applyProtection="1">
      <alignment horizontal="center" vertical="center"/>
      <protection locked="0"/>
    </xf>
    <xf numFmtId="2" fontId="56" fillId="12" borderId="0" xfId="0" applyNumberFormat="1" applyFont="1" applyFill="1" applyAlignment="1" applyProtection="1">
      <alignment horizontal="center" vertical="center"/>
      <protection locked="0"/>
    </xf>
    <xf numFmtId="165" fontId="58" fillId="12" borderId="0" xfId="0" applyNumberFormat="1" applyFont="1" applyFill="1" applyAlignment="1" applyProtection="1">
      <alignment horizontal="center" vertical="center"/>
      <protection locked="0"/>
    </xf>
    <xf numFmtId="2" fontId="58" fillId="12" borderId="0" xfId="0" applyNumberFormat="1" applyFont="1" applyFill="1" applyAlignment="1" applyProtection="1">
      <alignment horizontal="center" vertical="center"/>
      <protection locked="0"/>
    </xf>
    <xf numFmtId="0" fontId="47" fillId="12" borderId="0" xfId="0" applyFont="1" applyFill="1" applyAlignment="1">
      <alignment horizontal="left" vertical="center"/>
    </xf>
    <xf numFmtId="0" fontId="47" fillId="12" borderId="0" xfId="0" applyFont="1" applyFill="1" applyAlignment="1">
      <alignment horizontal="center" vertical="center"/>
    </xf>
    <xf numFmtId="0" fontId="47" fillId="12" borderId="0" xfId="0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left" vertical="center"/>
      <protection locked="0"/>
    </xf>
    <xf numFmtId="168" fontId="47" fillId="12" borderId="0" xfId="0" applyNumberFormat="1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vertical="center"/>
    </xf>
    <xf numFmtId="49" fontId="56" fillId="12" borderId="30" xfId="0" applyNumberFormat="1" applyFont="1" applyFill="1" applyBorder="1" applyAlignment="1">
      <alignment horizontal="left" vertical="center"/>
    </xf>
    <xf numFmtId="165" fontId="60" fillId="12" borderId="12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2" fontId="65" fillId="12" borderId="12" xfId="0" applyNumberFormat="1" applyFont="1" applyFill="1" applyBorder="1" applyAlignment="1">
      <alignment horizontal="center" vertical="center"/>
    </xf>
    <xf numFmtId="0" fontId="53" fillId="0" borderId="0" xfId="0" applyFont="1"/>
    <xf numFmtId="0" fontId="56" fillId="0" borderId="0" xfId="0" applyFont="1"/>
    <xf numFmtId="0" fontId="0" fillId="0" borderId="0" xfId="0" applyAlignment="1">
      <alignment horizontal="center"/>
    </xf>
    <xf numFmtId="0" fontId="68" fillId="0" borderId="0" xfId="0" applyFont="1"/>
    <xf numFmtId="0" fontId="47" fillId="0" borderId="0" xfId="0" applyFont="1"/>
    <xf numFmtId="0" fontId="47" fillId="13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44" fillId="0" borderId="0" xfId="0" applyFont="1" applyAlignment="1">
      <alignment horizontal="center"/>
    </xf>
    <xf numFmtId="0" fontId="53" fillId="12" borderId="0" xfId="0" applyFont="1" applyFill="1"/>
    <xf numFmtId="0" fontId="44" fillId="12" borderId="37" xfId="0" applyFont="1" applyFill="1" applyBorder="1"/>
    <xf numFmtId="0" fontId="44" fillId="12" borderId="0" xfId="0" applyFont="1" applyFill="1"/>
    <xf numFmtId="0" fontId="56" fillId="12" borderId="0" xfId="0" applyFont="1" applyFill="1"/>
    <xf numFmtId="0" fontId="56" fillId="12" borderId="0" xfId="0" applyFont="1" applyFill="1" applyAlignment="1" applyProtection="1">
      <alignment horizontal="center" vertical="center"/>
      <protection locked="0"/>
    </xf>
    <xf numFmtId="0" fontId="56" fillId="12" borderId="0" xfId="0" quotePrefix="1" applyFont="1" applyFill="1" applyAlignment="1">
      <alignment horizontal="left" vertical="center"/>
    </xf>
    <xf numFmtId="0" fontId="56" fillId="12" borderId="11" xfId="0" applyFont="1" applyFill="1" applyBorder="1" applyAlignment="1">
      <alignment horizontal="center" vertical="center"/>
    </xf>
    <xf numFmtId="0" fontId="68" fillId="12" borderId="12" xfId="0" applyFont="1" applyFill="1" applyBorder="1" applyAlignment="1">
      <alignment horizontal="center" vertical="center"/>
    </xf>
    <xf numFmtId="168" fontId="68" fillId="12" borderId="12" xfId="0" applyNumberFormat="1" applyFont="1" applyFill="1" applyBorder="1" applyAlignment="1" applyProtection="1">
      <alignment horizontal="center" vertical="center"/>
      <protection locked="0"/>
    </xf>
    <xf numFmtId="165" fontId="68" fillId="12" borderId="12" xfId="0" applyNumberFormat="1" applyFont="1" applyFill="1" applyBorder="1" applyAlignment="1" applyProtection="1">
      <alignment horizontal="center" vertical="center"/>
      <protection locked="0"/>
    </xf>
    <xf numFmtId="2" fontId="68" fillId="12" borderId="12" xfId="0" applyNumberFormat="1" applyFont="1" applyFill="1" applyBorder="1" applyAlignment="1" applyProtection="1">
      <alignment horizontal="center" vertical="center"/>
      <protection locked="0"/>
    </xf>
    <xf numFmtId="164" fontId="57" fillId="13" borderId="12" xfId="0" applyNumberFormat="1" applyFont="1" applyFill="1" applyBorder="1" applyAlignment="1" applyProtection="1">
      <alignment horizontal="center" vertical="center"/>
      <protection locked="0"/>
    </xf>
    <xf numFmtId="0" fontId="57" fillId="13" borderId="12" xfId="0" applyFont="1" applyFill="1" applyBorder="1" applyAlignment="1" applyProtection="1">
      <alignment horizontal="center" vertical="center"/>
      <protection locked="0"/>
    </xf>
    <xf numFmtId="168" fontId="57" fillId="13" borderId="12" xfId="0" applyNumberFormat="1" applyFont="1" applyFill="1" applyBorder="1" applyAlignment="1" applyProtection="1">
      <alignment horizontal="center" vertical="center"/>
      <protection locked="0"/>
    </xf>
    <xf numFmtId="165" fontId="44" fillId="12" borderId="0" xfId="0" applyNumberFormat="1" applyFont="1" applyFill="1" applyAlignment="1" applyProtection="1">
      <alignment horizontal="center" vertical="center"/>
      <protection locked="0"/>
    </xf>
    <xf numFmtId="165" fontId="44" fillId="12" borderId="0" xfId="0" quotePrefix="1" applyNumberFormat="1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center" vertical="center"/>
      <protection locked="0"/>
    </xf>
    <xf numFmtId="0" fontId="5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7" fillId="14" borderId="24" xfId="0" applyFont="1" applyFill="1" applyBorder="1" applyAlignment="1">
      <alignment horizontal="center"/>
    </xf>
    <xf numFmtId="0" fontId="57" fillId="14" borderId="0" xfId="0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3" fillId="14" borderId="25" xfId="0" applyFont="1" applyFill="1" applyBorder="1" applyAlignment="1">
      <alignment horizontal="center"/>
    </xf>
    <xf numFmtId="0" fontId="57" fillId="14" borderId="22" xfId="0" applyFont="1" applyFill="1" applyBorder="1" applyAlignment="1">
      <alignment horizontal="center"/>
    </xf>
    <xf numFmtId="0" fontId="57" fillId="14" borderId="29" xfId="0" applyFont="1" applyFill="1" applyBorder="1" applyAlignment="1">
      <alignment horizontal="center"/>
    </xf>
    <xf numFmtId="0" fontId="63" fillId="14" borderId="29" xfId="0" applyFont="1" applyFill="1" applyBorder="1" applyAlignment="1">
      <alignment horizontal="center"/>
    </xf>
    <xf numFmtId="168" fontId="63" fillId="14" borderId="23" xfId="0" applyNumberFormat="1" applyFont="1" applyFill="1" applyBorder="1" applyAlignment="1">
      <alignment horizontal="center"/>
    </xf>
    <xf numFmtId="0" fontId="69" fillId="12" borderId="0" xfId="0" applyFont="1" applyFill="1" applyAlignment="1">
      <alignment vertical="center"/>
    </xf>
    <xf numFmtId="1" fontId="37" fillId="12" borderId="0" xfId="0" applyNumberFormat="1" applyFont="1" applyFill="1" applyAlignment="1">
      <alignment vertical="center"/>
    </xf>
    <xf numFmtId="0" fontId="37" fillId="7" borderId="0" xfId="0" applyFont="1" applyFill="1" applyAlignment="1">
      <alignment vertical="center"/>
    </xf>
    <xf numFmtId="0" fontId="37" fillId="12" borderId="64" xfId="0" applyFont="1" applyFill="1" applyBorder="1" applyAlignment="1">
      <alignment horizontal="center" vertical="center"/>
    </xf>
    <xf numFmtId="0" fontId="36" fillId="12" borderId="67" xfId="0" applyFont="1" applyFill="1" applyBorder="1" applyAlignment="1" applyProtection="1">
      <alignment horizontal="center" vertical="center"/>
      <protection hidden="1"/>
    </xf>
    <xf numFmtId="165" fontId="41" fillId="12" borderId="68" xfId="0" applyNumberFormat="1" applyFont="1" applyFill="1" applyBorder="1" applyAlignment="1" applyProtection="1">
      <alignment horizontal="center" vertical="center"/>
      <protection hidden="1"/>
    </xf>
    <xf numFmtId="1" fontId="36" fillId="12" borderId="65" xfId="0" applyNumberFormat="1" applyFont="1" applyFill="1" applyBorder="1" applyAlignment="1" applyProtection="1">
      <alignment horizontal="center" vertical="center"/>
      <protection hidden="1"/>
    </xf>
    <xf numFmtId="1" fontId="36" fillId="12" borderId="26" xfId="0" applyNumberFormat="1" applyFont="1" applyFill="1" applyBorder="1" applyAlignment="1" applyProtection="1">
      <alignment horizontal="center" vertical="center"/>
      <protection hidden="1"/>
    </xf>
    <xf numFmtId="1" fontId="36" fillId="12" borderId="66" xfId="0" applyNumberFormat="1" applyFont="1" applyFill="1" applyBorder="1" applyAlignment="1" applyProtection="1">
      <alignment horizontal="center" vertical="center"/>
      <protection hidden="1"/>
    </xf>
    <xf numFmtId="164" fontId="36" fillId="12" borderId="65" xfId="0" applyNumberFormat="1" applyFont="1" applyFill="1" applyBorder="1" applyAlignment="1" applyProtection="1">
      <alignment horizontal="center" vertical="center"/>
      <protection hidden="1"/>
    </xf>
    <xf numFmtId="164" fontId="36" fillId="12" borderId="26" xfId="0" applyNumberFormat="1" applyFont="1" applyFill="1" applyBorder="1" applyAlignment="1" applyProtection="1">
      <alignment horizontal="center" vertical="center"/>
      <protection hidden="1"/>
    </xf>
    <xf numFmtId="164" fontId="36" fillId="12" borderId="66" xfId="0" applyNumberFormat="1" applyFont="1" applyFill="1" applyBorder="1" applyAlignment="1" applyProtection="1">
      <alignment horizontal="center" vertical="center"/>
      <protection hidden="1"/>
    </xf>
    <xf numFmtId="12" fontId="36" fillId="12" borderId="67" xfId="0" applyNumberFormat="1" applyFont="1" applyFill="1" applyBorder="1" applyAlignment="1" applyProtection="1">
      <alignment horizontal="center" vertical="center"/>
      <protection hidden="1"/>
    </xf>
    <xf numFmtId="0" fontId="36" fillId="12" borderId="69" xfId="0" applyFont="1" applyFill="1" applyBorder="1" applyAlignment="1" applyProtection="1">
      <alignment horizontal="center" vertical="center"/>
      <protection hidden="1"/>
    </xf>
    <xf numFmtId="165" fontId="41" fillId="12" borderId="70" xfId="0" applyNumberFormat="1" applyFont="1" applyFill="1" applyBorder="1" applyAlignment="1" applyProtection="1">
      <alignment horizontal="center" vertical="center"/>
      <protection hidden="1"/>
    </xf>
    <xf numFmtId="164" fontId="36" fillId="12" borderId="71" xfId="0" applyNumberFormat="1" applyFont="1" applyFill="1" applyBorder="1" applyAlignment="1" applyProtection="1">
      <alignment horizontal="center" vertical="center"/>
      <protection hidden="1"/>
    </xf>
    <xf numFmtId="1" fontId="36" fillId="12" borderId="72" xfId="0" applyNumberFormat="1" applyFont="1" applyFill="1" applyBorder="1" applyAlignment="1" applyProtection="1">
      <alignment horizontal="center" vertical="center"/>
      <protection hidden="1"/>
    </xf>
    <xf numFmtId="1" fontId="36" fillId="12" borderId="73" xfId="0" applyNumberFormat="1" applyFont="1" applyFill="1" applyBorder="1" applyAlignment="1" applyProtection="1">
      <alignment horizontal="center" vertical="center"/>
      <protection hidden="1"/>
    </xf>
    <xf numFmtId="164" fontId="36" fillId="12" borderId="72" xfId="0" applyNumberFormat="1" applyFont="1" applyFill="1" applyBorder="1" applyAlignment="1" applyProtection="1">
      <alignment horizontal="center" vertical="center"/>
      <protection hidden="1"/>
    </xf>
    <xf numFmtId="164" fontId="36" fillId="12" borderId="73" xfId="0" applyNumberFormat="1" applyFont="1" applyFill="1" applyBorder="1" applyAlignment="1" applyProtection="1">
      <alignment horizontal="center" vertical="center"/>
      <protection hidden="1"/>
    </xf>
    <xf numFmtId="0" fontId="18" fillId="12" borderId="0" xfId="2" applyFont="1" applyFill="1" applyAlignment="1">
      <alignment horizontal="centerContinuous"/>
    </xf>
    <xf numFmtId="0" fontId="72" fillId="12" borderId="0" xfId="2" applyFont="1" applyFill="1" applyAlignment="1">
      <alignment horizontal="centerContinuous"/>
    </xf>
    <xf numFmtId="0" fontId="73" fillId="12" borderId="0" xfId="2" applyFont="1" applyFill="1" applyAlignment="1">
      <alignment horizontal="center"/>
    </xf>
    <xf numFmtId="0" fontId="73" fillId="12" borderId="0" xfId="2" applyFont="1" applyFill="1" applyAlignment="1">
      <alignment horizontal="left"/>
    </xf>
    <xf numFmtId="0" fontId="74" fillId="12" borderId="0" xfId="2" applyFont="1" applyFill="1" applyAlignment="1">
      <alignment horizontal="left" vertical="center"/>
    </xf>
    <xf numFmtId="0" fontId="43" fillId="12" borderId="0" xfId="0" applyFont="1" applyFill="1" applyAlignment="1">
      <alignment horizontal="left" vertical="center"/>
    </xf>
    <xf numFmtId="0" fontId="75" fillId="12" borderId="0" xfId="2" applyFont="1" applyFill="1" applyAlignment="1">
      <alignment horizontal="centerContinuous"/>
    </xf>
    <xf numFmtId="0" fontId="21" fillId="12" borderId="0" xfId="2" applyFont="1" applyFill="1" applyAlignment="1">
      <alignment horizontal="left"/>
    </xf>
    <xf numFmtId="0" fontId="34" fillId="12" borderId="0" xfId="3" applyFont="1" applyFill="1" applyAlignment="1">
      <alignment horizontal="centerContinuous" vertical="center"/>
    </xf>
    <xf numFmtId="0" fontId="43" fillId="12" borderId="0" xfId="0" applyFont="1" applyFill="1"/>
    <xf numFmtId="0" fontId="76" fillId="12" borderId="0" xfId="0" applyFont="1" applyFill="1"/>
    <xf numFmtId="0" fontId="34" fillId="12" borderId="0" xfId="2" applyFont="1" applyFill="1" applyAlignment="1">
      <alignment horizontal="center"/>
    </xf>
    <xf numFmtId="0" fontId="77" fillId="12" borderId="0" xfId="3" applyFont="1" applyFill="1" applyAlignment="1">
      <alignment horizontal="centerContinuous"/>
    </xf>
    <xf numFmtId="0" fontId="78" fillId="12" borderId="0" xfId="0" applyFont="1" applyFill="1"/>
    <xf numFmtId="0" fontId="79" fillId="12" borderId="0" xfId="0" applyFont="1" applyFill="1"/>
    <xf numFmtId="0" fontId="78" fillId="12" borderId="0" xfId="3" applyFont="1" applyFill="1" applyAlignment="1">
      <alignment horizontal="centerContinuous"/>
    </xf>
    <xf numFmtId="0" fontId="80" fillId="12" borderId="0" xfId="2" applyFont="1" applyFill="1" applyAlignment="1">
      <alignment horizontal="center"/>
    </xf>
    <xf numFmtId="0" fontId="75" fillId="12" borderId="0" xfId="2" applyFont="1" applyFill="1" applyAlignment="1">
      <alignment horizontal="left"/>
    </xf>
    <xf numFmtId="0" fontId="77" fillId="12" borderId="0" xfId="3" applyFont="1" applyFill="1" applyAlignment="1">
      <alignment horizontal="left" vertical="center"/>
    </xf>
    <xf numFmtId="0" fontId="0" fillId="12" borderId="37" xfId="0" applyFill="1" applyBorder="1"/>
    <xf numFmtId="0" fontId="80" fillId="12" borderId="37" xfId="2" applyFont="1" applyFill="1" applyBorder="1" applyAlignment="1">
      <alignment horizontal="left" vertical="center"/>
    </xf>
    <xf numFmtId="0" fontId="2" fillId="12" borderId="37" xfId="2" applyFill="1" applyBorder="1" applyAlignment="1">
      <alignment horizontal="center"/>
    </xf>
    <xf numFmtId="0" fontId="77" fillId="12" borderId="0" xfId="3" applyFont="1" applyFill="1"/>
    <xf numFmtId="0" fontId="3" fillId="12" borderId="0" xfId="3" applyFont="1" applyFill="1"/>
    <xf numFmtId="0" fontId="3" fillId="12" borderId="74" xfId="1" applyFont="1" applyFill="1" applyBorder="1" applyAlignment="1">
      <alignment horizontal="left" vertical="center"/>
    </xf>
    <xf numFmtId="0" fontId="3" fillId="12" borderId="32" xfId="1" applyFont="1" applyFill="1" applyBorder="1" applyAlignment="1" applyProtection="1">
      <alignment horizontal="left" vertical="center"/>
      <protection locked="0"/>
    </xf>
    <xf numFmtId="0" fontId="81" fillId="12" borderId="32" xfId="1" applyFont="1" applyFill="1" applyBorder="1" applyAlignment="1">
      <alignment horizontal="center" vertical="center"/>
    </xf>
    <xf numFmtId="0" fontId="82" fillId="12" borderId="32" xfId="3" applyFont="1" applyFill="1" applyBorder="1"/>
    <xf numFmtId="0" fontId="82" fillId="12" borderId="32" xfId="0" applyFont="1" applyFill="1" applyBorder="1" applyAlignment="1" applyProtection="1">
      <alignment horizontal="right" vertical="center"/>
      <protection hidden="1"/>
    </xf>
    <xf numFmtId="0" fontId="3" fillId="12" borderId="32" xfId="3" applyFont="1" applyFill="1" applyBorder="1" applyAlignment="1">
      <alignment horizontal="left"/>
    </xf>
    <xf numFmtId="0" fontId="3" fillId="12" borderId="75" xfId="1" applyFont="1" applyFill="1" applyBorder="1" applyAlignment="1">
      <alignment horizontal="left" vertical="center"/>
    </xf>
    <xf numFmtId="0" fontId="3" fillId="12" borderId="76" xfId="1" applyFont="1" applyFill="1" applyBorder="1" applyAlignment="1">
      <alignment horizontal="left" vertical="center"/>
    </xf>
    <xf numFmtId="2" fontId="3" fillId="12" borderId="32" xfId="1" applyNumberFormat="1" applyFont="1" applyFill="1" applyBorder="1" applyAlignment="1" applyProtection="1">
      <alignment horizontal="left" vertical="center"/>
      <protection locked="0"/>
    </xf>
    <xf numFmtId="0" fontId="81" fillId="12" borderId="0" xfId="1" applyFont="1" applyFill="1" applyAlignment="1">
      <alignment horizontal="center" vertical="center"/>
    </xf>
    <xf numFmtId="0" fontId="3" fillId="12" borderId="0" xfId="1" applyFont="1" applyFill="1" applyAlignment="1">
      <alignment horizontal="left" vertical="center"/>
    </xf>
    <xf numFmtId="0" fontId="3" fillId="12" borderId="0" xfId="1" applyFont="1" applyFill="1" applyAlignment="1">
      <alignment horizontal="right" vertical="center"/>
    </xf>
    <xf numFmtId="0" fontId="3" fillId="12" borderId="0" xfId="1" applyFont="1" applyFill="1" applyAlignment="1" applyProtection="1">
      <alignment horizontal="left" vertical="center"/>
      <protection locked="0"/>
    </xf>
    <xf numFmtId="0" fontId="3" fillId="12" borderId="77" xfId="1" applyFont="1" applyFill="1" applyBorder="1" applyAlignment="1">
      <alignment horizontal="left" vertical="center"/>
    </xf>
    <xf numFmtId="171" fontId="3" fillId="12" borderId="0" xfId="1" applyNumberFormat="1" applyFont="1" applyFill="1" applyAlignment="1">
      <alignment vertical="center"/>
    </xf>
    <xf numFmtId="171" fontId="3" fillId="12" borderId="0" xfId="1" applyNumberFormat="1" applyFont="1" applyFill="1" applyAlignment="1">
      <alignment horizontal="center" vertical="center"/>
    </xf>
    <xf numFmtId="0" fontId="82" fillId="12" borderId="0" xfId="1" applyFont="1" applyFill="1" applyAlignment="1">
      <alignment horizontal="left" vertical="center"/>
    </xf>
    <xf numFmtId="0" fontId="82" fillId="12" borderId="0" xfId="1" applyFont="1" applyFill="1" applyAlignment="1">
      <alignment horizontal="center" vertical="center"/>
    </xf>
    <xf numFmtId="0" fontId="82" fillId="12" borderId="0" xfId="1" applyFont="1" applyFill="1" applyAlignment="1" applyProtection="1">
      <alignment horizontal="left" vertical="center"/>
      <protection locked="0"/>
    </xf>
    <xf numFmtId="0" fontId="3" fillId="12" borderId="0" xfId="1" applyFont="1" applyFill="1" applyAlignment="1">
      <alignment vertical="center"/>
    </xf>
    <xf numFmtId="0" fontId="34" fillId="12" borderId="0" xfId="1" applyFont="1" applyFill="1" applyAlignment="1">
      <alignment horizontal="left" vertical="center"/>
    </xf>
    <xf numFmtId="0" fontId="3" fillId="12" borderId="78" xfId="1" applyFont="1" applyFill="1" applyBorder="1" applyAlignment="1">
      <alignment horizontal="left" vertical="center"/>
    </xf>
    <xf numFmtId="0" fontId="3" fillId="12" borderId="30" xfId="1" applyFont="1" applyFill="1" applyBorder="1" applyAlignment="1" applyProtection="1">
      <alignment horizontal="left" vertical="center"/>
      <protection locked="0"/>
    </xf>
    <xf numFmtId="164" fontId="3" fillId="12" borderId="30" xfId="1" applyNumberFormat="1" applyFont="1" applyFill="1" applyBorder="1" applyAlignment="1">
      <alignment horizontal="center" vertical="center"/>
    </xf>
    <xf numFmtId="171" fontId="3" fillId="12" borderId="30" xfId="1" applyNumberFormat="1" applyFont="1" applyFill="1" applyBorder="1" applyAlignment="1">
      <alignment horizontal="center" vertical="center"/>
    </xf>
    <xf numFmtId="0" fontId="81" fillId="12" borderId="30" xfId="1" applyFont="1" applyFill="1" applyBorder="1" applyAlignment="1">
      <alignment horizontal="center" vertical="center"/>
    </xf>
    <xf numFmtId="0" fontId="3" fillId="12" borderId="30" xfId="1" applyFont="1" applyFill="1" applyBorder="1" applyAlignment="1">
      <alignment horizontal="left" vertical="center"/>
    </xf>
    <xf numFmtId="0" fontId="3" fillId="12" borderId="30" xfId="0" applyFont="1" applyFill="1" applyBorder="1"/>
    <xf numFmtId="0" fontId="3" fillId="12" borderId="79" xfId="1" applyFont="1" applyFill="1" applyBorder="1" applyAlignment="1">
      <alignment horizontal="left" vertical="center"/>
    </xf>
    <xf numFmtId="0" fontId="3" fillId="12" borderId="80" xfId="0" applyFont="1" applyFill="1" applyBorder="1"/>
    <xf numFmtId="0" fontId="3" fillId="12" borderId="0" xfId="0" applyFont="1" applyFill="1"/>
    <xf numFmtId="0" fontId="3" fillId="12" borderId="82" xfId="0" applyFont="1" applyFill="1" applyBorder="1"/>
    <xf numFmtId="0" fontId="3" fillId="12" borderId="83" xfId="0" applyFont="1" applyFill="1" applyBorder="1"/>
    <xf numFmtId="0" fontId="3" fillId="12" borderId="74" xfId="0" applyFont="1" applyFill="1" applyBorder="1"/>
    <xf numFmtId="0" fontId="3" fillId="12" borderId="32" xfId="0" applyFont="1" applyFill="1" applyBorder="1"/>
    <xf numFmtId="0" fontId="3" fillId="12" borderId="75" xfId="0" applyFont="1" applyFill="1" applyBorder="1"/>
    <xf numFmtId="0" fontId="3" fillId="12" borderId="78" xfId="0" applyFont="1" applyFill="1" applyBorder="1"/>
    <xf numFmtId="0" fontId="3" fillId="12" borderId="79" xfId="0" applyFont="1" applyFill="1" applyBorder="1"/>
    <xf numFmtId="3" fontId="53" fillId="12" borderId="81" xfId="0" applyNumberFormat="1" applyFont="1" applyFill="1" applyBorder="1" applyAlignment="1">
      <alignment horizontal="center"/>
    </xf>
    <xf numFmtId="0" fontId="34" fillId="12" borderId="81" xfId="0" applyFont="1" applyFill="1" applyBorder="1" applyAlignment="1">
      <alignment horizontal="center"/>
    </xf>
    <xf numFmtId="0" fontId="81" fillId="12" borderId="0" xfId="0" applyFont="1" applyFill="1"/>
    <xf numFmtId="0" fontId="3" fillId="12" borderId="74" xfId="0" applyFont="1" applyFill="1" applyBorder="1" applyAlignment="1">
      <alignment horizontal="center"/>
    </xf>
    <xf numFmtId="0" fontId="3" fillId="12" borderId="75" xfId="0" applyFont="1" applyFill="1" applyBorder="1" applyAlignment="1">
      <alignment horizontal="center"/>
    </xf>
    <xf numFmtId="0" fontId="3" fillId="12" borderId="84" xfId="0" applyFont="1" applyFill="1" applyBorder="1" applyAlignment="1">
      <alignment horizontal="center"/>
    </xf>
    <xf numFmtId="0" fontId="3" fillId="12" borderId="31" xfId="0" applyFont="1" applyFill="1" applyBorder="1" applyAlignment="1">
      <alignment horizontal="center"/>
    </xf>
    <xf numFmtId="0" fontId="3" fillId="12" borderId="85" xfId="0" applyFont="1" applyFill="1" applyBorder="1" applyAlignment="1">
      <alignment horizontal="center"/>
    </xf>
    <xf numFmtId="0" fontId="82" fillId="12" borderId="81" xfId="0" applyFont="1" applyFill="1" applyBorder="1" applyAlignment="1">
      <alignment horizontal="center"/>
    </xf>
    <xf numFmtId="0" fontId="82" fillId="12" borderId="31" xfId="0" applyFont="1" applyFill="1" applyBorder="1" applyAlignment="1">
      <alignment horizontal="center"/>
    </xf>
    <xf numFmtId="14" fontId="3" fillId="12" borderId="0" xfId="0" applyNumberFormat="1" applyFont="1" applyFill="1" applyAlignment="1">
      <alignment horizontal="right"/>
    </xf>
    <xf numFmtId="14" fontId="3" fillId="12" borderId="0" xfId="0" applyNumberFormat="1" applyFont="1" applyFill="1"/>
    <xf numFmtId="0" fontId="3" fillId="12" borderId="0" xfId="0" applyFont="1" applyFill="1" applyAlignment="1">
      <alignment horizontal="right"/>
    </xf>
    <xf numFmtId="2" fontId="3" fillId="12" borderId="0" xfId="0" applyNumberFormat="1" applyFont="1" applyFill="1"/>
    <xf numFmtId="1" fontId="3" fillId="12" borderId="0" xfId="0" applyNumberFormat="1" applyFont="1" applyFill="1"/>
    <xf numFmtId="0" fontId="86" fillId="12" borderId="0" xfId="0" applyFont="1" applyFill="1"/>
    <xf numFmtId="0" fontId="87" fillId="12" borderId="0" xfId="0" applyFont="1" applyFill="1"/>
    <xf numFmtId="0" fontId="0" fillId="0" borderId="56" xfId="0" applyBorder="1"/>
    <xf numFmtId="0" fontId="0" fillId="0" borderId="86" xfId="0" applyBorder="1"/>
    <xf numFmtId="0" fontId="0" fillId="0" borderId="57" xfId="0" applyBorder="1"/>
    <xf numFmtId="0" fontId="0" fillId="0" borderId="87" xfId="0" applyBorder="1"/>
    <xf numFmtId="0" fontId="0" fillId="0" borderId="58" xfId="0" applyBorder="1"/>
    <xf numFmtId="0" fontId="0" fillId="12" borderId="88" xfId="0" applyFill="1" applyBorder="1" applyProtection="1">
      <protection hidden="1"/>
    </xf>
    <xf numFmtId="0" fontId="18" fillId="12" borderId="34" xfId="2" applyFont="1" applyFill="1" applyBorder="1" applyAlignment="1">
      <alignment horizontal="centerContinuous"/>
    </xf>
    <xf numFmtId="0" fontId="72" fillId="12" borderId="40" xfId="2" applyFont="1" applyFill="1" applyBorder="1" applyAlignment="1">
      <alignment horizontal="centerContinuous"/>
    </xf>
    <xf numFmtId="0" fontId="73" fillId="12" borderId="89" xfId="2" applyFont="1" applyFill="1" applyBorder="1" applyAlignment="1">
      <alignment horizontal="center"/>
    </xf>
    <xf numFmtId="0" fontId="75" fillId="12" borderId="34" xfId="2" applyFont="1" applyFill="1" applyBorder="1" applyAlignment="1">
      <alignment horizontal="centerContinuous"/>
    </xf>
    <xf numFmtId="0" fontId="75" fillId="12" borderId="40" xfId="2" applyFont="1" applyFill="1" applyBorder="1" applyAlignment="1">
      <alignment horizontal="centerContinuous"/>
    </xf>
    <xf numFmtId="0" fontId="21" fillId="12" borderId="89" xfId="2" applyFont="1" applyFill="1" applyBorder="1" applyAlignment="1">
      <alignment horizontal="center"/>
    </xf>
    <xf numFmtId="0" fontId="76" fillId="12" borderId="34" xfId="0" applyFont="1" applyFill="1" applyBorder="1"/>
    <xf numFmtId="0" fontId="76" fillId="12" borderId="0" xfId="3" applyFont="1" applyFill="1"/>
    <xf numFmtId="0" fontId="75" fillId="12" borderId="0" xfId="3" applyFont="1" applyFill="1"/>
    <xf numFmtId="0" fontId="76" fillId="12" borderId="40" xfId="3" applyFont="1" applyFill="1" applyBorder="1"/>
    <xf numFmtId="0" fontId="34" fillId="12" borderId="89" xfId="2" applyFont="1" applyFill="1" applyBorder="1" applyAlignment="1">
      <alignment horizontal="center"/>
    </xf>
    <xf numFmtId="0" fontId="78" fillId="12" borderId="34" xfId="0" applyFont="1" applyFill="1" applyBorder="1"/>
    <xf numFmtId="0" fontId="77" fillId="12" borderId="40" xfId="3" applyFont="1" applyFill="1" applyBorder="1" applyAlignment="1">
      <alignment horizontal="centerContinuous"/>
    </xf>
    <xf numFmtId="0" fontId="80" fillId="12" borderId="89" xfId="2" applyFont="1" applyFill="1" applyBorder="1" applyAlignment="1">
      <alignment horizontal="center"/>
    </xf>
    <xf numFmtId="0" fontId="77" fillId="12" borderId="34" xfId="0" applyFont="1" applyFill="1" applyBorder="1"/>
    <xf numFmtId="0" fontId="88" fillId="12" borderId="0" xfId="0" applyFont="1" applyFill="1"/>
    <xf numFmtId="0" fontId="89" fillId="12" borderId="0" xfId="0" applyFont="1" applyFill="1"/>
    <xf numFmtId="0" fontId="0" fillId="12" borderId="90" xfId="0" applyFill="1" applyBorder="1" applyProtection="1">
      <protection hidden="1"/>
    </xf>
    <xf numFmtId="0" fontId="76" fillId="12" borderId="36" xfId="0" applyFont="1" applyFill="1" applyBorder="1"/>
    <xf numFmtId="0" fontId="88" fillId="12" borderId="37" xfId="0" applyFont="1" applyFill="1" applyBorder="1"/>
    <xf numFmtId="0" fontId="89" fillId="12" borderId="37" xfId="0" applyFont="1" applyFill="1" applyBorder="1"/>
    <xf numFmtId="0" fontId="0" fillId="12" borderId="41" xfId="0" applyFill="1" applyBorder="1"/>
    <xf numFmtId="0" fontId="90" fillId="12" borderId="90" xfId="0" applyFont="1" applyFill="1" applyBorder="1" applyAlignment="1" applyProtection="1">
      <alignment horizontal="centerContinuous"/>
      <protection hidden="1"/>
    </xf>
    <xf numFmtId="2" fontId="36" fillId="12" borderId="0" xfId="0" applyNumberFormat="1" applyFont="1" applyFill="1" applyAlignment="1" applyProtection="1">
      <alignment vertical="center"/>
      <protection locked="0"/>
    </xf>
    <xf numFmtId="0" fontId="36" fillId="12" borderId="0" xfId="0" applyFont="1" applyFill="1" applyAlignment="1" applyProtection="1">
      <alignment vertical="center"/>
      <protection locked="0"/>
    </xf>
    <xf numFmtId="0" fontId="0" fillId="12" borderId="0" xfId="0" applyFill="1" applyProtection="1">
      <protection hidden="1"/>
    </xf>
    <xf numFmtId="0" fontId="34" fillId="12" borderId="0" xfId="0" applyFont="1" applyFill="1" applyProtection="1">
      <protection hidden="1"/>
    </xf>
    <xf numFmtId="0" fontId="34" fillId="0" borderId="0" xfId="0" applyFont="1" applyAlignment="1" applyProtection="1">
      <alignment vertical="center"/>
      <protection hidden="1"/>
    </xf>
    <xf numFmtId="0" fontId="41" fillId="12" borderId="40" xfId="0" applyFont="1" applyFill="1" applyBorder="1" applyAlignment="1">
      <alignment vertical="center"/>
    </xf>
    <xf numFmtId="0" fontId="36" fillId="12" borderId="0" xfId="0" applyFont="1" applyFill="1" applyAlignment="1" applyProtection="1">
      <alignment horizontal="center" vertical="center"/>
      <protection locked="0"/>
    </xf>
    <xf numFmtId="49" fontId="36" fillId="12" borderId="0" xfId="0" applyNumberFormat="1" applyFont="1" applyFill="1" applyAlignment="1" applyProtection="1">
      <alignment vertical="center"/>
      <protection locked="0"/>
    </xf>
    <xf numFmtId="173" fontId="3" fillId="12" borderId="40" xfId="0" applyNumberFormat="1" applyFont="1" applyFill="1" applyBorder="1" applyAlignment="1" applyProtection="1">
      <alignment horizontal="left"/>
      <protection hidden="1"/>
    </xf>
    <xf numFmtId="0" fontId="39" fillId="12" borderId="34" xfId="0" applyFont="1" applyFill="1" applyBorder="1" applyAlignment="1">
      <alignment vertical="center"/>
    </xf>
    <xf numFmtId="0" fontId="3" fillId="12" borderId="0" xfId="0" applyFont="1" applyFill="1" applyProtection="1">
      <protection hidden="1"/>
    </xf>
    <xf numFmtId="0" fontId="0" fillId="12" borderId="40" xfId="0" applyFill="1" applyBorder="1" applyProtection="1">
      <protection hidden="1"/>
    </xf>
    <xf numFmtId="169" fontId="36" fillId="12" borderId="0" xfId="0" applyNumberFormat="1" applyFont="1" applyFill="1" applyAlignment="1" applyProtection="1">
      <alignment vertical="center"/>
      <protection locked="0"/>
    </xf>
    <xf numFmtId="0" fontId="34" fillId="12" borderId="34" xfId="0" applyFont="1" applyFill="1" applyBorder="1" applyProtection="1">
      <protection hidden="1"/>
    </xf>
    <xf numFmtId="0" fontId="0" fillId="12" borderId="88" xfId="0" applyFill="1" applyBorder="1"/>
    <xf numFmtId="0" fontId="34" fillId="12" borderId="36" xfId="0" applyFont="1" applyFill="1" applyBorder="1"/>
    <xf numFmtId="0" fontId="34" fillId="12" borderId="37" xfId="0" applyFont="1" applyFill="1" applyBorder="1"/>
    <xf numFmtId="0" fontId="0" fillId="12" borderId="90" xfId="0" applyFill="1" applyBorder="1"/>
    <xf numFmtId="0" fontId="0" fillId="0" borderId="91" xfId="0" applyBorder="1"/>
    <xf numFmtId="0" fontId="0" fillId="0" borderId="92" xfId="0" applyBorder="1"/>
    <xf numFmtId="0" fontId="0" fillId="12" borderId="89" xfId="0" applyFill="1" applyBorder="1"/>
    <xf numFmtId="0" fontId="0" fillId="0" borderId="4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94" xfId="0" applyBorder="1" applyAlignment="1">
      <alignment horizontal="center"/>
    </xf>
    <xf numFmtId="0" fontId="2" fillId="0" borderId="95" xfId="0" applyFont="1" applyBorder="1" applyAlignment="1" applyProtection="1">
      <alignment horizontal="right"/>
      <protection hidden="1"/>
    </xf>
    <xf numFmtId="164" fontId="2" fillId="0" borderId="96" xfId="0" applyNumberFormat="1" applyFont="1" applyBorder="1" applyAlignment="1" applyProtection="1">
      <alignment horizontal="right"/>
      <protection hidden="1"/>
    </xf>
    <xf numFmtId="0" fontId="2" fillId="0" borderId="97" xfId="0" applyFont="1" applyBorder="1" applyAlignment="1" applyProtection="1">
      <alignment horizontal="center"/>
      <protection hidden="1"/>
    </xf>
    <xf numFmtId="164" fontId="2" fillId="0" borderId="84" xfId="0" applyNumberFormat="1" applyFont="1" applyBorder="1" applyAlignment="1" applyProtection="1">
      <alignment horizontal="right"/>
      <protection hidden="1"/>
    </xf>
    <xf numFmtId="0" fontId="2" fillId="0" borderId="98" xfId="0" applyFont="1" applyBorder="1" applyAlignment="1" applyProtection="1">
      <alignment horizontal="center"/>
      <protection hidden="1"/>
    </xf>
    <xf numFmtId="164" fontId="2" fillId="0" borderId="99" xfId="0" applyNumberFormat="1" applyFont="1" applyBorder="1" applyAlignment="1" applyProtection="1">
      <alignment horizontal="right"/>
      <protection hidden="1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2" fillId="0" borderId="88" xfId="0" applyFont="1" applyBorder="1" applyAlignment="1" applyProtection="1">
      <alignment horizontal="right"/>
      <protection hidden="1"/>
    </xf>
    <xf numFmtId="164" fontId="2" fillId="0" borderId="102" xfId="0" applyNumberFormat="1" applyFont="1" applyBorder="1" applyAlignment="1" applyProtection="1">
      <alignment horizontal="right"/>
      <protection hidden="1"/>
    </xf>
    <xf numFmtId="0" fontId="2" fillId="0" borderId="100" xfId="0" applyFont="1" applyBorder="1" applyAlignment="1" applyProtection="1">
      <alignment horizontal="center"/>
      <protection hidden="1"/>
    </xf>
    <xf numFmtId="164" fontId="2" fillId="0" borderId="103" xfId="0" applyNumberFormat="1" applyFont="1" applyBorder="1" applyAlignment="1" applyProtection="1">
      <alignment horizontal="right"/>
      <protection hidden="1"/>
    </xf>
    <xf numFmtId="0" fontId="2" fillId="0" borderId="104" xfId="0" applyFont="1" applyBorder="1" applyAlignment="1" applyProtection="1">
      <alignment horizontal="center"/>
      <protection hidden="1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2" fillId="0" borderId="107" xfId="0" applyFont="1" applyBorder="1" applyAlignment="1" applyProtection="1">
      <alignment horizontal="right"/>
      <protection hidden="1"/>
    </xf>
    <xf numFmtId="164" fontId="2" fillId="0" borderId="108" xfId="0" applyNumberFormat="1" applyFont="1" applyBorder="1" applyAlignment="1" applyProtection="1">
      <alignment horizontal="right"/>
      <protection hidden="1"/>
    </xf>
    <xf numFmtId="0" fontId="2" fillId="0" borderId="105" xfId="0" applyFont="1" applyBorder="1" applyAlignment="1" applyProtection="1">
      <alignment horizontal="center"/>
      <protection hidden="1"/>
    </xf>
    <xf numFmtId="164" fontId="2" fillId="0" borderId="109" xfId="0" applyNumberFormat="1" applyFont="1" applyBorder="1" applyAlignment="1" applyProtection="1">
      <alignment horizontal="right"/>
      <protection hidden="1"/>
    </xf>
    <xf numFmtId="0" fontId="2" fillId="0" borderId="40" xfId="0" applyFont="1" applyBorder="1" applyAlignment="1" applyProtection="1">
      <alignment horizontal="right"/>
      <protection hidden="1"/>
    </xf>
    <xf numFmtId="0" fontId="2" fillId="0" borderId="34" xfId="0" applyFont="1" applyBorder="1" applyAlignment="1" applyProtection="1">
      <alignment horizontal="right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36" xfId="0" applyBorder="1" applyAlignment="1">
      <alignment horizontal="center"/>
    </xf>
    <xf numFmtId="0" fontId="0" fillId="0" borderId="110" xfId="0" applyBorder="1" applyAlignment="1">
      <alignment horizontal="center"/>
    </xf>
    <xf numFmtId="1" fontId="2" fillId="0" borderId="111" xfId="0" applyNumberFormat="1" applyFont="1" applyBorder="1" applyAlignment="1" applyProtection="1">
      <alignment horizontal="right"/>
      <protection hidden="1"/>
    </xf>
    <xf numFmtId="1" fontId="2" fillId="0" borderId="41" xfId="0" applyNumberFormat="1" applyFont="1" applyBorder="1" applyAlignment="1" applyProtection="1">
      <alignment horizontal="right"/>
      <protection hidden="1"/>
    </xf>
    <xf numFmtId="0" fontId="21" fillId="0" borderId="88" xfId="0" applyFont="1" applyBorder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0" fillId="0" borderId="90" xfId="0" applyBorder="1"/>
    <xf numFmtId="164" fontId="21" fillId="0" borderId="0" xfId="0" applyNumberFormat="1" applyFont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0" xfId="0" applyProtection="1">
      <protection hidden="1"/>
    </xf>
    <xf numFmtId="0" fontId="92" fillId="0" borderId="0" xfId="0" applyFont="1" applyProtection="1">
      <protection hidden="1"/>
    </xf>
    <xf numFmtId="0" fontId="86" fillId="0" borderId="0" xfId="0" applyFont="1" applyProtection="1">
      <protection hidden="1"/>
    </xf>
    <xf numFmtId="0" fontId="93" fillId="0" borderId="0" xfId="0" applyFont="1" applyProtection="1">
      <protection hidden="1"/>
    </xf>
    <xf numFmtId="0" fontId="94" fillId="0" borderId="0" xfId="0" applyFont="1" applyProtection="1">
      <protection hidden="1"/>
    </xf>
    <xf numFmtId="0" fontId="18" fillId="12" borderId="33" xfId="2" applyFont="1" applyFill="1" applyBorder="1" applyAlignment="1">
      <alignment horizontal="centerContinuous"/>
    </xf>
    <xf numFmtId="0" fontId="72" fillId="12" borderId="38" xfId="2" applyFont="1" applyFill="1" applyBorder="1" applyAlignment="1">
      <alignment horizontal="centerContinuous"/>
    </xf>
    <xf numFmtId="0" fontId="73" fillId="12" borderId="39" xfId="2" applyFont="1" applyFill="1" applyBorder="1" applyAlignment="1">
      <alignment horizontal="center"/>
    </xf>
    <xf numFmtId="0" fontId="2" fillId="12" borderId="0" xfId="5" applyFill="1"/>
    <xf numFmtId="0" fontId="95" fillId="0" borderId="0" xfId="5" applyFont="1" applyAlignment="1">
      <alignment horizontal="left" readingOrder="1"/>
    </xf>
    <xf numFmtId="0" fontId="21" fillId="12" borderId="40" xfId="2" applyFont="1" applyFill="1" applyBorder="1" applyAlignment="1">
      <alignment horizontal="center"/>
    </xf>
    <xf numFmtId="0" fontId="76" fillId="12" borderId="34" xfId="5" applyFont="1" applyFill="1" applyBorder="1"/>
    <xf numFmtId="0" fontId="34" fillId="12" borderId="40" xfId="2" applyFont="1" applyFill="1" applyBorder="1" applyAlignment="1">
      <alignment horizontal="center"/>
    </xf>
    <xf numFmtId="0" fontId="78" fillId="12" borderId="34" xfId="5" applyFont="1" applyFill="1" applyBorder="1"/>
    <xf numFmtId="0" fontId="79" fillId="12" borderId="0" xfId="5" applyFont="1" applyFill="1"/>
    <xf numFmtId="0" fontId="75" fillId="12" borderId="0" xfId="3" applyFont="1" applyFill="1" applyAlignment="1">
      <alignment horizontal="left"/>
    </xf>
    <xf numFmtId="0" fontId="80" fillId="12" borderId="40" xfId="2" applyFont="1" applyFill="1" applyBorder="1" applyAlignment="1">
      <alignment horizontal="center"/>
    </xf>
    <xf numFmtId="0" fontId="2" fillId="12" borderId="36" xfId="5" applyFill="1" applyBorder="1"/>
    <xf numFmtId="0" fontId="2" fillId="12" borderId="37" xfId="5" applyFill="1" applyBorder="1"/>
    <xf numFmtId="0" fontId="80" fillId="12" borderId="41" xfId="2" applyFont="1" applyFill="1" applyBorder="1" applyAlignment="1">
      <alignment horizontal="left" vertical="center"/>
    </xf>
    <xf numFmtId="0" fontId="80" fillId="12" borderId="0" xfId="2" applyFont="1" applyFill="1" applyAlignment="1">
      <alignment horizontal="left" vertical="center"/>
    </xf>
    <xf numFmtId="0" fontId="2" fillId="12" borderId="0" xfId="2" applyFill="1" applyAlignment="1">
      <alignment horizontal="center"/>
    </xf>
    <xf numFmtId="0" fontId="2" fillId="12" borderId="0" xfId="2" applyFill="1"/>
    <xf numFmtId="0" fontId="3" fillId="12" borderId="0" xfId="2" applyFont="1" applyFill="1" applyAlignment="1">
      <alignment horizontal="left"/>
    </xf>
    <xf numFmtId="0" fontId="3" fillId="12" borderId="24" xfId="2" applyFont="1" applyFill="1" applyBorder="1" applyAlignment="1">
      <alignment horizontal="left"/>
    </xf>
    <xf numFmtId="0" fontId="53" fillId="12" borderId="0" xfId="2" applyFont="1" applyFill="1" applyAlignment="1">
      <alignment horizontal="center"/>
    </xf>
    <xf numFmtId="0" fontId="53" fillId="12" borderId="0" xfId="2" applyFont="1" applyFill="1"/>
    <xf numFmtId="0" fontId="3" fillId="12" borderId="0" xfId="2" applyFont="1" applyFill="1"/>
    <xf numFmtId="49" fontId="3" fillId="12" borderId="0" xfId="2" applyNumberFormat="1" applyFont="1" applyFill="1"/>
    <xf numFmtId="0" fontId="53" fillId="12" borderId="0" xfId="2" applyFont="1" applyFill="1" applyAlignment="1">
      <alignment horizontal="left"/>
    </xf>
    <xf numFmtId="0" fontId="3" fillId="12" borderId="22" xfId="2" applyFont="1" applyFill="1" applyBorder="1"/>
    <xf numFmtId="0" fontId="53" fillId="12" borderId="29" xfId="2" applyFont="1" applyFill="1" applyBorder="1" applyAlignment="1">
      <alignment horizontal="center"/>
    </xf>
    <xf numFmtId="175" fontId="53" fillId="12" borderId="29" xfId="2" applyNumberFormat="1" applyFont="1" applyFill="1" applyBorder="1" applyAlignment="1">
      <alignment horizontal="left"/>
    </xf>
    <xf numFmtId="0" fontId="53" fillId="12" borderId="29" xfId="2" applyFont="1" applyFill="1" applyBorder="1" applyAlignment="1">
      <alignment horizontal="right"/>
    </xf>
    <xf numFmtId="0" fontId="3" fillId="12" borderId="29" xfId="2" applyFont="1" applyFill="1" applyBorder="1"/>
    <xf numFmtId="14" fontId="3" fillId="12" borderId="29" xfId="2" applyNumberFormat="1" applyFont="1" applyFill="1" applyBorder="1" applyAlignment="1">
      <alignment horizontal="left"/>
    </xf>
    <xf numFmtId="14" fontId="53" fillId="12" borderId="29" xfId="2" applyNumberFormat="1" applyFont="1" applyFill="1" applyBorder="1" applyAlignment="1">
      <alignment horizontal="left"/>
    </xf>
    <xf numFmtId="0" fontId="53" fillId="12" borderId="0" xfId="5" applyFont="1" applyFill="1"/>
    <xf numFmtId="0" fontId="53" fillId="12" borderId="0" xfId="5" applyFont="1" applyFill="1" applyAlignment="1">
      <alignment horizontal="center"/>
    </xf>
    <xf numFmtId="165" fontId="53" fillId="12" borderId="0" xfId="5" applyNumberFormat="1" applyFont="1" applyFill="1" applyAlignment="1" applyProtection="1">
      <alignment horizontal="center"/>
      <protection hidden="1"/>
    </xf>
    <xf numFmtId="2" fontId="53" fillId="12" borderId="0" xfId="5" applyNumberFormat="1" applyFont="1" applyFill="1" applyAlignment="1" applyProtection="1">
      <alignment horizontal="center"/>
      <protection hidden="1"/>
    </xf>
    <xf numFmtId="2" fontId="75" fillId="15" borderId="0" xfId="5" applyNumberFormat="1" applyFont="1" applyFill="1" applyAlignment="1" applyProtection="1">
      <alignment horizontal="center"/>
      <protection hidden="1"/>
    </xf>
    <xf numFmtId="165" fontId="53" fillId="12" borderId="0" xfId="5" applyNumberFormat="1" applyFont="1" applyFill="1" applyAlignment="1">
      <alignment horizontal="center"/>
    </xf>
    <xf numFmtId="0" fontId="3" fillId="12" borderId="0" xfId="5" applyFont="1" applyFill="1"/>
    <xf numFmtId="0" fontId="53" fillId="12" borderId="0" xfId="5" applyFont="1" applyFill="1" applyAlignment="1" applyProtection="1">
      <alignment horizontal="center"/>
      <protection locked="0"/>
    </xf>
    <xf numFmtId="164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hidden="1"/>
    </xf>
    <xf numFmtId="0" fontId="53" fillId="12" borderId="0" xfId="5" applyFont="1" applyFill="1" applyAlignment="1" applyProtection="1">
      <alignment horizontal="center"/>
      <protection hidden="1"/>
    </xf>
    <xf numFmtId="165" fontId="53" fillId="12" borderId="0" xfId="5" applyNumberFormat="1" applyFont="1" applyFill="1"/>
    <xf numFmtId="0" fontId="3" fillId="12" borderId="0" xfId="5" applyFont="1" applyFill="1" applyAlignment="1">
      <alignment horizontal="center"/>
    </xf>
    <xf numFmtId="165" fontId="75" fillId="15" borderId="0" xfId="5" applyNumberFormat="1" applyFont="1" applyFill="1" applyAlignment="1" applyProtection="1">
      <alignment horizontal="center"/>
      <protection hidden="1"/>
    </xf>
    <xf numFmtId="165" fontId="53" fillId="15" borderId="0" xfId="5" applyNumberFormat="1" applyFont="1" applyFill="1" applyAlignment="1" applyProtection="1">
      <alignment horizontal="center"/>
      <protection hidden="1"/>
    </xf>
    <xf numFmtId="164" fontId="53" fillId="12" borderId="0" xfId="5" applyNumberFormat="1" applyFont="1" applyFill="1" applyAlignment="1" applyProtection="1">
      <alignment horizontal="center"/>
      <protection hidden="1"/>
    </xf>
    <xf numFmtId="0" fontId="88" fillId="12" borderId="0" xfId="5" applyFont="1" applyFill="1" applyAlignment="1">
      <alignment horizontal="left" vertical="center"/>
    </xf>
    <xf numFmtId="0" fontId="97" fillId="12" borderId="0" xfId="5" applyFont="1" applyFill="1" applyAlignment="1">
      <alignment horizontal="left" vertical="center"/>
    </xf>
    <xf numFmtId="0" fontId="6" fillId="12" borderId="0" xfId="5" applyFont="1" applyFill="1" applyAlignment="1">
      <alignment horizontal="left" vertical="center"/>
    </xf>
    <xf numFmtId="0" fontId="36" fillId="12" borderId="0" xfId="5" quotePrefix="1" applyFont="1" applyFill="1" applyAlignment="1">
      <alignment vertical="center"/>
    </xf>
    <xf numFmtId="0" fontId="36" fillId="12" borderId="0" xfId="5" applyFont="1" applyFill="1" applyAlignment="1">
      <alignment vertical="center"/>
    </xf>
    <xf numFmtId="0" fontId="39" fillId="12" borderId="0" xfId="5" applyFont="1" applyFill="1" applyAlignment="1">
      <alignment vertical="center"/>
    </xf>
    <xf numFmtId="164" fontId="39" fillId="12" borderId="0" xfId="5" applyNumberFormat="1" applyFont="1" applyFill="1" applyAlignment="1">
      <alignment horizontal="center" vertical="center"/>
    </xf>
    <xf numFmtId="164" fontId="39" fillId="12" borderId="0" xfId="5" applyNumberFormat="1" applyFont="1" applyFill="1" applyAlignment="1">
      <alignment horizontal="left" vertical="center"/>
    </xf>
    <xf numFmtId="0" fontId="2" fillId="12" borderId="0" xfId="5" applyFill="1" applyAlignment="1">
      <alignment horizontal="left" vertical="center"/>
    </xf>
    <xf numFmtId="0" fontId="6" fillId="12" borderId="0" xfId="5" quotePrefix="1" applyFont="1" applyFill="1" applyAlignment="1">
      <alignment horizontal="left" vertical="center"/>
    </xf>
    <xf numFmtId="0" fontId="34" fillId="12" borderId="0" xfId="5" applyFont="1" applyFill="1" applyAlignment="1">
      <alignment horizontal="center"/>
    </xf>
    <xf numFmtId="0" fontId="98" fillId="12" borderId="0" xfId="5" applyFont="1" applyFill="1" applyAlignment="1">
      <alignment horizontal="center"/>
    </xf>
    <xf numFmtId="0" fontId="64" fillId="12" borderId="0" xfId="5" applyFont="1" applyFill="1"/>
    <xf numFmtId="0" fontId="35" fillId="12" borderId="33" xfId="5" applyFont="1" applyFill="1" applyBorder="1" applyAlignment="1" applyProtection="1">
      <alignment horizontal="centerContinuous" vertical="center"/>
      <protection locked="0"/>
    </xf>
    <xf numFmtId="0" fontId="2" fillId="12" borderId="38" xfId="5" applyFill="1" applyBorder="1" applyAlignment="1">
      <alignment horizontal="centerContinuous" vertical="center"/>
    </xf>
    <xf numFmtId="0" fontId="2" fillId="12" borderId="39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horizontal="centerContinuous" vertical="center"/>
    </xf>
    <xf numFmtId="0" fontId="2" fillId="12" borderId="0" xfId="5" applyFill="1" applyAlignment="1">
      <alignment horizontal="centerContinuous" vertical="center"/>
    </xf>
    <xf numFmtId="0" fontId="99" fillId="0" borderId="0" xfId="5" applyFont="1" applyAlignment="1">
      <alignment horizontal="left" readingOrder="1"/>
    </xf>
    <xf numFmtId="0" fontId="2" fillId="12" borderId="40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vertical="center"/>
    </xf>
    <xf numFmtId="0" fontId="2" fillId="12" borderId="40" xfId="5" applyFill="1" applyBorder="1"/>
    <xf numFmtId="0" fontId="2" fillId="12" borderId="0" xfId="5" applyFill="1" applyAlignment="1">
      <alignment vertical="center"/>
    </xf>
    <xf numFmtId="0" fontId="2" fillId="12" borderId="40" xfId="5" applyFill="1" applyBorder="1" applyAlignment="1">
      <alignment vertical="center"/>
    </xf>
    <xf numFmtId="0" fontId="36" fillId="12" borderId="36" xfId="5" applyFont="1" applyFill="1" applyBorder="1" applyAlignment="1">
      <alignment vertical="center"/>
    </xf>
    <xf numFmtId="0" fontId="2" fillId="12" borderId="37" xfId="5" applyFill="1" applyBorder="1" applyAlignment="1">
      <alignment vertical="center"/>
    </xf>
    <xf numFmtId="0" fontId="2" fillId="12" borderId="41" xfId="5" applyFill="1" applyBorder="1" applyAlignment="1">
      <alignment vertical="center"/>
    </xf>
    <xf numFmtId="0" fontId="21" fillId="12" borderId="0" xfId="2" applyFont="1" applyFill="1"/>
    <xf numFmtId="0" fontId="3" fillId="12" borderId="24" xfId="2" applyFont="1" applyFill="1" applyBorder="1"/>
    <xf numFmtId="0" fontId="2" fillId="12" borderId="25" xfId="5" applyFill="1" applyBorder="1" applyAlignment="1">
      <alignment vertical="center"/>
    </xf>
    <xf numFmtId="0" fontId="2" fillId="12" borderId="29" xfId="5" applyFill="1" applyBorder="1"/>
    <xf numFmtId="0" fontId="2" fillId="12" borderId="29" xfId="5" applyFill="1" applyBorder="1" applyAlignment="1">
      <alignment vertical="center"/>
    </xf>
    <xf numFmtId="0" fontId="2" fillId="12" borderId="23" xfId="5" applyFill="1" applyBorder="1" applyAlignment="1">
      <alignment vertical="center"/>
    </xf>
    <xf numFmtId="0" fontId="34" fillId="12" borderId="0" xfId="5" applyFont="1" applyFill="1" applyAlignment="1">
      <alignment vertical="center"/>
    </xf>
    <xf numFmtId="0" fontId="49" fillId="12" borderId="0" xfId="5" applyFont="1" applyFill="1"/>
    <xf numFmtId="0" fontId="2" fillId="12" borderId="30" xfId="5" applyFill="1" applyBorder="1"/>
    <xf numFmtId="0" fontId="2" fillId="12" borderId="31" xfId="5" applyFill="1" applyBorder="1"/>
    <xf numFmtId="166" fontId="2" fillId="12" borderId="30" xfId="5" applyNumberFormat="1" applyFill="1" applyBorder="1" applyAlignment="1">
      <alignment horizontal="left"/>
    </xf>
    <xf numFmtId="49" fontId="2" fillId="12" borderId="0" xfId="5" applyNumberFormat="1" applyFill="1"/>
    <xf numFmtId="0" fontId="2" fillId="12" borderId="32" xfId="5" applyFill="1" applyBorder="1"/>
    <xf numFmtId="0" fontId="2" fillId="12" borderId="11" xfId="5" applyFill="1" applyBorder="1" applyAlignment="1">
      <alignment vertical="center"/>
    </xf>
    <xf numFmtId="0" fontId="2" fillId="12" borderId="0" xfId="5" applyFill="1" applyAlignment="1">
      <alignment horizontal="center"/>
    </xf>
    <xf numFmtId="49" fontId="2" fillId="12" borderId="30" xfId="5" applyNumberFormat="1" applyFill="1" applyBorder="1"/>
    <xf numFmtId="49" fontId="3" fillId="12" borderId="29" xfId="2" applyNumberFormat="1" applyFont="1" applyFill="1" applyBorder="1" applyAlignment="1">
      <alignment horizontal="left"/>
    </xf>
    <xf numFmtId="0" fontId="2" fillId="12" borderId="0" xfId="0" applyFont="1" applyFill="1"/>
    <xf numFmtId="0" fontId="21" fillId="12" borderId="24" xfId="2" applyFont="1" applyFill="1" applyBorder="1"/>
    <xf numFmtId="0" fontId="53" fillId="12" borderId="24" xfId="0" applyFont="1" applyFill="1" applyBorder="1"/>
    <xf numFmtId="0" fontId="2" fillId="12" borderId="13" xfId="0" applyFont="1" applyFill="1" applyBorder="1" applyAlignment="1">
      <alignment vertical="center"/>
    </xf>
    <xf numFmtId="2" fontId="2" fillId="12" borderId="26" xfId="0" applyNumberFormat="1" applyFont="1" applyFill="1" applyBorder="1" applyAlignment="1">
      <alignment horizontal="center" vertical="center"/>
    </xf>
    <xf numFmtId="164" fontId="2" fillId="12" borderId="26" xfId="0" applyNumberFormat="1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1" xfId="0" applyFont="1" applyFill="1" applyBorder="1" applyAlignment="1">
      <alignment horizontal="center" vertical="center"/>
    </xf>
    <xf numFmtId="0" fontId="97" fillId="12" borderId="0" xfId="0" applyFont="1" applyFill="1" applyAlignment="1">
      <alignment horizontal="center" vertical="center"/>
    </xf>
    <xf numFmtId="0" fontId="101" fillId="0" borderId="0" xfId="6" applyFont="1" applyAlignment="1" applyProtection="1">
      <alignment vertical="top"/>
    </xf>
    <xf numFmtId="0" fontId="102" fillId="12" borderId="0" xfId="5" applyFont="1" applyFill="1" applyAlignment="1">
      <alignment horizontal="left" vertical="center"/>
    </xf>
    <xf numFmtId="0" fontId="103" fillId="12" borderId="0" xfId="5" applyFont="1" applyFill="1" applyAlignment="1">
      <alignment horizontal="left" vertical="center"/>
    </xf>
    <xf numFmtId="0" fontId="104" fillId="12" borderId="0" xfId="5" applyFont="1" applyFill="1" applyAlignment="1">
      <alignment horizontal="left" vertical="center"/>
    </xf>
    <xf numFmtId="0" fontId="51" fillId="12" borderId="0" xfId="5" applyFont="1" applyFill="1"/>
    <xf numFmtId="165" fontId="51" fillId="12" borderId="0" xfId="5" applyNumberFormat="1" applyFont="1" applyFill="1" applyAlignment="1">
      <alignment horizontal="center"/>
    </xf>
    <xf numFmtId="0" fontId="51" fillId="12" borderId="0" xfId="5" applyFont="1" applyFill="1" applyAlignment="1">
      <alignment horizontal="center"/>
    </xf>
    <xf numFmtId="164" fontId="51" fillId="12" borderId="0" xfId="5" applyNumberFormat="1" applyFont="1" applyFill="1" applyAlignment="1" applyProtection="1">
      <alignment horizontal="center"/>
      <protection hidden="1"/>
    </xf>
    <xf numFmtId="2" fontId="51" fillId="12" borderId="0" xfId="5" applyNumberFormat="1" applyFont="1" applyFill="1" applyAlignment="1" applyProtection="1">
      <alignment horizontal="center"/>
      <protection hidden="1"/>
    </xf>
    <xf numFmtId="165" fontId="51" fillId="12" borderId="0" xfId="5" applyNumberFormat="1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locked="0"/>
    </xf>
    <xf numFmtId="164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hidden="1"/>
    </xf>
    <xf numFmtId="0" fontId="52" fillId="12" borderId="0" xfId="2" applyFont="1" applyFill="1"/>
    <xf numFmtId="0" fontId="101" fillId="12" borderId="0" xfId="5" applyFont="1" applyFill="1"/>
    <xf numFmtId="2" fontId="101" fillId="12" borderId="0" xfId="5" applyNumberFormat="1" applyFont="1" applyFill="1"/>
    <xf numFmtId="165" fontId="101" fillId="12" borderId="0" xfId="5" applyNumberFormat="1" applyFont="1" applyFill="1"/>
    <xf numFmtId="165" fontId="101" fillId="12" borderId="0" xfId="5" applyNumberFormat="1" applyFont="1" applyFill="1" applyAlignment="1">
      <alignment horizontal="center"/>
    </xf>
    <xf numFmtId="165" fontId="101" fillId="12" borderId="0" xfId="5" applyNumberFormat="1" applyFont="1" applyFill="1" applyAlignment="1" applyProtection="1">
      <alignment horizontal="center"/>
      <protection hidden="1"/>
    </xf>
    <xf numFmtId="2" fontId="105" fillId="12" borderId="0" xfId="5" applyNumberFormat="1" applyFont="1" applyFill="1" applyAlignment="1" applyProtection="1">
      <alignment horizontal="center"/>
      <protection hidden="1"/>
    </xf>
    <xf numFmtId="2" fontId="101" fillId="12" borderId="0" xfId="5" applyNumberFormat="1" applyFont="1" applyFill="1" applyAlignment="1" applyProtection="1">
      <alignment horizontal="center"/>
      <protection hidden="1"/>
    </xf>
    <xf numFmtId="165" fontId="101" fillId="12" borderId="156" xfId="5" applyNumberFormat="1" applyFont="1" applyFill="1" applyBorder="1" applyAlignment="1">
      <alignment horizontal="center"/>
    </xf>
    <xf numFmtId="165" fontId="101" fillId="12" borderId="155" xfId="5" applyNumberFormat="1" applyFont="1" applyFill="1" applyBorder="1" applyAlignment="1">
      <alignment horizontal="center"/>
    </xf>
    <xf numFmtId="0" fontId="101" fillId="12" borderId="154" xfId="5" applyFont="1" applyFill="1" applyBorder="1" applyAlignment="1">
      <alignment horizontal="center"/>
    </xf>
    <xf numFmtId="0" fontId="101" fillId="12" borderId="153" xfId="5" applyFont="1" applyFill="1" applyBorder="1"/>
    <xf numFmtId="0" fontId="101" fillId="12" borderId="153" xfId="5" applyFont="1" applyFill="1" applyBorder="1" applyAlignment="1">
      <alignment horizontal="left"/>
    </xf>
    <xf numFmtId="0" fontId="101" fillId="12" borderId="152" xfId="5" applyFont="1" applyFill="1" applyBorder="1" applyAlignment="1">
      <alignment horizontal="left"/>
    </xf>
    <xf numFmtId="164" fontId="101" fillId="12" borderId="151" xfId="5" applyNumberFormat="1" applyFont="1" applyFill="1" applyBorder="1" applyAlignment="1" applyProtection="1">
      <alignment horizontal="center"/>
      <protection locked="0"/>
    </xf>
    <xf numFmtId="164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31" xfId="5" applyFont="1" applyFill="1" applyBorder="1"/>
    <xf numFmtId="0" fontId="101" fillId="12" borderId="31" xfId="5" applyFont="1" applyFill="1" applyBorder="1" applyAlignment="1">
      <alignment horizontal="left"/>
    </xf>
    <xf numFmtId="0" fontId="101" fillId="12" borderId="150" xfId="5" applyFont="1" applyFill="1" applyBorder="1" applyAlignment="1">
      <alignment horizontal="left"/>
    </xf>
    <xf numFmtId="165" fontId="101" fillId="12" borderId="151" xfId="5" applyNumberFormat="1" applyFont="1" applyFill="1" applyBorder="1" applyAlignment="1">
      <alignment horizontal="center"/>
    </xf>
    <xf numFmtId="165" fontId="101" fillId="12" borderId="81" xfId="5" applyNumberFormat="1" applyFont="1" applyFill="1" applyBorder="1" applyAlignment="1">
      <alignment horizontal="center"/>
    </xf>
    <xf numFmtId="0" fontId="101" fillId="12" borderId="151" xfId="5" applyFont="1" applyFill="1" applyBorder="1" applyAlignment="1" applyProtection="1">
      <alignment horizontal="center"/>
      <protection locked="0"/>
    </xf>
    <xf numFmtId="1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151" xfId="5" applyFont="1" applyFill="1" applyBorder="1" applyAlignment="1">
      <alignment horizontal="center"/>
    </xf>
    <xf numFmtId="0" fontId="101" fillId="12" borderId="81" xfId="5" applyFont="1" applyFill="1" applyBorder="1" applyAlignment="1">
      <alignment horizontal="center"/>
    </xf>
    <xf numFmtId="0" fontId="101" fillId="12" borderId="81" xfId="5" applyFont="1" applyFill="1" applyBorder="1" applyAlignment="1" applyProtection="1">
      <alignment horizontal="center"/>
      <protection locked="0"/>
    </xf>
    <xf numFmtId="0" fontId="101" fillId="12" borderId="147" xfId="5" applyFont="1" applyFill="1" applyBorder="1" applyAlignment="1">
      <alignment horizontal="center"/>
    </xf>
    <xf numFmtId="0" fontId="101" fillId="12" borderId="146" xfId="5" applyFont="1" applyFill="1" applyBorder="1"/>
    <xf numFmtId="0" fontId="101" fillId="12" borderId="146" xfId="5" applyFont="1" applyFill="1" applyBorder="1" applyAlignment="1">
      <alignment horizontal="left"/>
    </xf>
    <xf numFmtId="0" fontId="101" fillId="12" borderId="145" xfId="5" applyFont="1" applyFill="1" applyBorder="1" applyAlignment="1">
      <alignment horizontal="left"/>
    </xf>
    <xf numFmtId="0" fontId="106" fillId="12" borderId="170" xfId="5" applyFont="1" applyFill="1" applyBorder="1" applyAlignment="1">
      <alignment horizontal="center"/>
    </xf>
    <xf numFmtId="0" fontId="106" fillId="12" borderId="161" xfId="5" applyFont="1" applyFill="1" applyBorder="1" applyAlignment="1">
      <alignment horizontal="center"/>
    </xf>
    <xf numFmtId="0" fontId="106" fillId="12" borderId="20" xfId="5" applyFont="1" applyFill="1" applyBorder="1"/>
    <xf numFmtId="0" fontId="51" fillId="12" borderId="23" xfId="2" applyFont="1" applyFill="1" applyBorder="1"/>
    <xf numFmtId="0" fontId="51" fillId="12" borderId="29" xfId="5" applyFont="1" applyFill="1" applyBorder="1"/>
    <xf numFmtId="0" fontId="51" fillId="12" borderId="29" xfId="2" applyFont="1" applyFill="1" applyBorder="1" applyAlignment="1">
      <alignment horizontal="right"/>
    </xf>
    <xf numFmtId="2" fontId="51" fillId="12" borderId="29" xfId="2" applyNumberFormat="1" applyFont="1" applyFill="1" applyBorder="1" applyAlignment="1">
      <alignment horizontal="left"/>
    </xf>
    <xf numFmtId="0" fontId="51" fillId="12" borderId="29" xfId="2" applyFont="1" applyFill="1" applyBorder="1" applyAlignment="1">
      <alignment horizontal="center"/>
    </xf>
    <xf numFmtId="0" fontId="51" fillId="12" borderId="29" xfId="2" applyFont="1" applyFill="1" applyBorder="1" applyAlignment="1">
      <alignment horizontal="left"/>
    </xf>
    <xf numFmtId="0" fontId="101" fillId="12" borderId="29" xfId="5" applyFont="1" applyFill="1" applyBorder="1" applyAlignment="1">
      <alignment horizontal="left"/>
    </xf>
    <xf numFmtId="0" fontId="101" fillId="12" borderId="22" xfId="5" applyFont="1" applyFill="1" applyBorder="1" applyAlignment="1">
      <alignment horizontal="left"/>
    </xf>
    <xf numFmtId="0" fontId="51" fillId="12" borderId="25" xfId="2" applyFont="1" applyFill="1" applyBorder="1"/>
    <xf numFmtId="0" fontId="51" fillId="12" borderId="0" xfId="2" applyFont="1" applyFill="1"/>
    <xf numFmtId="49" fontId="107" fillId="12" borderId="31" xfId="2" applyNumberFormat="1" applyFont="1" applyFill="1" applyBorder="1" applyAlignment="1">
      <alignment horizontal="left"/>
    </xf>
    <xf numFmtId="0" fontId="51" fillId="12" borderId="31" xfId="2" applyFont="1" applyFill="1" applyBorder="1" applyAlignment="1">
      <alignment horizontal="center"/>
    </xf>
    <xf numFmtId="0" fontId="51" fillId="12" borderId="31" xfId="2" applyFont="1" applyFill="1" applyBorder="1" applyAlignment="1">
      <alignment horizontal="left"/>
    </xf>
    <xf numFmtId="0" fontId="101" fillId="12" borderId="0" xfId="5" applyFont="1" applyFill="1" applyAlignment="1">
      <alignment horizontal="left"/>
    </xf>
    <xf numFmtId="0" fontId="101" fillId="12" borderId="24" xfId="5" applyFont="1" applyFill="1" applyBorder="1" applyAlignment="1">
      <alignment horizontal="left"/>
    </xf>
    <xf numFmtId="0" fontId="51" fillId="15" borderId="23" xfId="5" applyFont="1" applyFill="1" applyBorder="1"/>
    <xf numFmtId="0" fontId="51" fillId="15" borderId="29" xfId="5" applyFont="1" applyFill="1" applyBorder="1"/>
    <xf numFmtId="169" fontId="101" fillId="15" borderId="29" xfId="5" applyNumberFormat="1" applyFont="1" applyFill="1" applyBorder="1" applyAlignment="1" applyProtection="1">
      <alignment vertical="center"/>
      <protection locked="0"/>
    </xf>
    <xf numFmtId="0" fontId="101" fillId="15" borderId="29" xfId="5" applyFont="1" applyFill="1" applyBorder="1" applyAlignment="1">
      <alignment vertical="center"/>
    </xf>
    <xf numFmtId="0" fontId="101" fillId="15" borderId="22" xfId="5" applyFont="1" applyFill="1" applyBorder="1" applyAlignment="1">
      <alignment vertical="center"/>
    </xf>
    <xf numFmtId="0" fontId="2" fillId="0" borderId="0" xfId="5" applyProtection="1">
      <protection hidden="1"/>
    </xf>
    <xf numFmtId="0" fontId="51" fillId="15" borderId="25" xfId="5" applyFont="1" applyFill="1" applyBorder="1"/>
    <xf numFmtId="0" fontId="51" fillId="15" borderId="0" xfId="5" applyFont="1" applyFill="1" applyAlignment="1">
      <alignment horizontal="right"/>
    </xf>
    <xf numFmtId="0" fontId="2" fillId="15" borderId="0" xfId="5" applyFill="1"/>
    <xf numFmtId="0" fontId="51" fillId="15" borderId="31" xfId="5" applyFont="1" applyFill="1" applyBorder="1" applyAlignment="1">
      <alignment horizontal="right"/>
    </xf>
    <xf numFmtId="0" fontId="51" fillId="15" borderId="31" xfId="5" applyFont="1" applyFill="1" applyBorder="1"/>
    <xf numFmtId="0" fontId="101" fillId="15" borderId="31" xfId="5" applyFont="1" applyFill="1" applyBorder="1" applyAlignment="1" applyProtection="1">
      <alignment vertical="center"/>
      <protection locked="0"/>
    </xf>
    <xf numFmtId="0" fontId="106" fillId="15" borderId="0" xfId="5" applyFont="1" applyFill="1" applyAlignment="1">
      <alignment vertical="center"/>
    </xf>
    <xf numFmtId="0" fontId="106" fillId="15" borderId="24" xfId="5" applyFont="1" applyFill="1" applyBorder="1" applyAlignment="1">
      <alignment vertical="center"/>
    </xf>
    <xf numFmtId="0" fontId="106" fillId="15" borderId="0" xfId="5" applyFont="1" applyFill="1" applyAlignment="1">
      <alignment horizontal="center" vertical="center"/>
    </xf>
    <xf numFmtId="0" fontId="106" fillId="15" borderId="0" xfId="5" applyFont="1" applyFill="1" applyAlignment="1">
      <alignment horizontal="left" vertical="center"/>
    </xf>
    <xf numFmtId="15" fontId="101" fillId="0" borderId="0" xfId="5" applyNumberFormat="1" applyFont="1" applyProtection="1">
      <protection hidden="1"/>
    </xf>
    <xf numFmtId="0" fontId="52" fillId="15" borderId="0" xfId="5" applyFont="1" applyFill="1"/>
    <xf numFmtId="0" fontId="51" fillId="15" borderId="0" xfId="5" applyFont="1" applyFill="1"/>
    <xf numFmtId="0" fontId="101" fillId="15" borderId="0" xfId="5" applyFont="1" applyFill="1" applyAlignment="1">
      <alignment horizontal="left" vertical="center"/>
    </xf>
    <xf numFmtId="0" fontId="38" fillId="12" borderId="0" xfId="5" applyFont="1" applyFill="1" applyAlignment="1">
      <alignment horizontal="center" vertical="center"/>
    </xf>
    <xf numFmtId="0" fontId="108" fillId="15" borderId="31" xfId="5" applyFont="1" applyFill="1" applyBorder="1"/>
    <xf numFmtId="0" fontId="101" fillId="15" borderId="31" xfId="5" applyFont="1" applyFill="1" applyBorder="1" applyAlignment="1">
      <alignment horizontal="left" vertical="center"/>
    </xf>
    <xf numFmtId="0" fontId="106" fillId="15" borderId="24" xfId="5" applyFont="1" applyFill="1" applyBorder="1" applyAlignment="1">
      <alignment horizontal="left" vertical="center"/>
    </xf>
    <xf numFmtId="0" fontId="34" fillId="0" borderId="0" xfId="5" applyFont="1" applyAlignment="1" applyProtection="1">
      <alignment horizontal="right"/>
      <protection hidden="1"/>
    </xf>
    <xf numFmtId="0" fontId="101" fillId="15" borderId="0" xfId="5" applyFont="1" applyFill="1" applyAlignment="1">
      <alignment vertical="center"/>
    </xf>
    <xf numFmtId="17" fontId="36" fillId="12" borderId="0" xfId="5" applyNumberFormat="1" applyFont="1" applyFill="1" applyAlignment="1">
      <alignment horizontal="left" vertical="center"/>
    </xf>
    <xf numFmtId="0" fontId="55" fillId="12" borderId="0" xfId="5" applyFont="1" applyFill="1" applyAlignment="1">
      <alignment vertical="center"/>
    </xf>
    <xf numFmtId="0" fontId="78" fillId="12" borderId="0" xfId="5" applyFont="1" applyFill="1"/>
    <xf numFmtId="0" fontId="76" fillId="12" borderId="0" xfId="5" applyFont="1" applyFill="1"/>
    <xf numFmtId="0" fontId="72" fillId="12" borderId="39" xfId="2" applyFont="1" applyFill="1" applyBorder="1" applyAlignment="1">
      <alignment horizontal="centerContinuous"/>
    </xf>
    <xf numFmtId="0" fontId="18" fillId="12" borderId="38" xfId="2" applyFont="1" applyFill="1" applyBorder="1" applyAlignment="1">
      <alignment horizontal="centerContinuous"/>
    </xf>
    <xf numFmtId="0" fontId="101" fillId="15" borderId="0" xfId="5" applyFont="1" applyFill="1"/>
    <xf numFmtId="0" fontId="106" fillId="15" borderId="0" xfId="5" applyFont="1" applyFill="1"/>
    <xf numFmtId="0" fontId="101" fillId="12" borderId="0" xfId="5" applyFont="1" applyFill="1" applyAlignment="1">
      <alignment vertical="center"/>
    </xf>
    <xf numFmtId="0" fontId="101" fillId="15" borderId="31" xfId="5" applyFont="1" applyFill="1" applyBorder="1"/>
    <xf numFmtId="0" fontId="106" fillId="15" borderId="31" xfId="5" applyFont="1" applyFill="1" applyBorder="1"/>
    <xf numFmtId="17" fontId="101" fillId="12" borderId="176" xfId="5" applyNumberFormat="1" applyFont="1" applyFill="1" applyBorder="1" applyAlignment="1">
      <alignment vertical="center"/>
    </xf>
    <xf numFmtId="17" fontId="101" fillId="12" borderId="0" xfId="5" applyNumberFormat="1" applyFont="1" applyFill="1" applyAlignment="1">
      <alignment vertical="center"/>
    </xf>
    <xf numFmtId="0" fontId="101" fillId="12" borderId="176" xfId="5" applyFont="1" applyFill="1" applyBorder="1" applyAlignment="1">
      <alignment vertical="center"/>
    </xf>
    <xf numFmtId="0" fontId="101" fillId="15" borderId="31" xfId="2" applyFont="1" applyFill="1" applyBorder="1"/>
    <xf numFmtId="0" fontId="101" fillId="15" borderId="0" xfId="5" applyFont="1" applyFill="1" applyAlignment="1">
      <alignment horizontal="right"/>
    </xf>
    <xf numFmtId="0" fontId="101" fillId="15" borderId="0" xfId="5" applyFont="1" applyFill="1" applyProtection="1">
      <protection hidden="1"/>
    </xf>
    <xf numFmtId="0" fontId="101" fillId="15" borderId="25" xfId="5" applyFont="1" applyFill="1" applyBorder="1" applyProtection="1">
      <protection hidden="1"/>
    </xf>
    <xf numFmtId="0" fontId="101" fillId="15" borderId="29" xfId="5" applyFont="1" applyFill="1" applyBorder="1"/>
    <xf numFmtId="0" fontId="101" fillId="15" borderId="23" xfId="5" applyFont="1" applyFill="1" applyBorder="1"/>
    <xf numFmtId="0" fontId="101" fillId="12" borderId="24" xfId="2" applyFont="1" applyFill="1" applyBorder="1" applyAlignment="1">
      <alignment horizontal="left"/>
    </xf>
    <xf numFmtId="0" fontId="101" fillId="12" borderId="0" xfId="2" applyFont="1" applyFill="1" applyAlignment="1">
      <alignment horizontal="left"/>
    </xf>
    <xf numFmtId="0" fontId="101" fillId="12" borderId="31" xfId="2" applyFont="1" applyFill="1" applyBorder="1" applyAlignment="1">
      <alignment horizontal="left"/>
    </xf>
    <xf numFmtId="0" fontId="101" fillId="12" borderId="31" xfId="2" applyFont="1" applyFill="1" applyBorder="1" applyAlignment="1">
      <alignment horizontal="center"/>
    </xf>
    <xf numFmtId="49" fontId="111" fillId="12" borderId="31" xfId="2" applyNumberFormat="1" applyFont="1" applyFill="1" applyBorder="1" applyAlignment="1">
      <alignment horizontal="left"/>
    </xf>
    <xf numFmtId="0" fontId="101" fillId="12" borderId="31" xfId="2" applyFont="1" applyFill="1" applyBorder="1"/>
    <xf numFmtId="0" fontId="101" fillId="12" borderId="0" xfId="2" applyFont="1" applyFill="1"/>
    <xf numFmtId="0" fontId="101" fillId="12" borderId="25" xfId="5" applyFont="1" applyFill="1" applyBorder="1"/>
    <xf numFmtId="0" fontId="101" fillId="12" borderId="22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center"/>
    </xf>
    <xf numFmtId="2" fontId="101" fillId="12" borderId="29" xfId="2" applyNumberFormat="1" applyFont="1" applyFill="1" applyBorder="1" applyAlignment="1">
      <alignment horizontal="left"/>
    </xf>
    <xf numFmtId="0" fontId="101" fillId="12" borderId="29" xfId="2" applyFont="1" applyFill="1" applyBorder="1" applyAlignment="1">
      <alignment horizontal="right"/>
    </xf>
    <xf numFmtId="0" fontId="101" fillId="12" borderId="29" xfId="5" applyFont="1" applyFill="1" applyBorder="1"/>
    <xf numFmtId="0" fontId="101" fillId="12" borderId="29" xfId="2" applyFont="1" applyFill="1" applyBorder="1"/>
    <xf numFmtId="0" fontId="101" fillId="12" borderId="23" xfId="5" applyFont="1" applyFill="1" applyBorder="1"/>
    <xf numFmtId="0" fontId="101" fillId="12" borderId="0" xfId="5" applyFont="1" applyFill="1" applyAlignment="1">
      <alignment horizontal="center"/>
    </xf>
    <xf numFmtId="2" fontId="106" fillId="15" borderId="0" xfId="5" applyNumberFormat="1" applyFont="1" applyFill="1" applyAlignment="1" applyProtection="1">
      <alignment horizontal="center"/>
      <protection hidden="1"/>
    </xf>
    <xf numFmtId="0" fontId="112" fillId="12" borderId="33" xfId="2" applyFont="1" applyFill="1" applyBorder="1" applyAlignment="1">
      <alignment horizontal="centerContinuous"/>
    </xf>
    <xf numFmtId="0" fontId="113" fillId="12" borderId="38" xfId="2" applyFont="1" applyFill="1" applyBorder="1" applyAlignment="1">
      <alignment horizontal="centerContinuous"/>
    </xf>
    <xf numFmtId="0" fontId="113" fillId="12" borderId="39" xfId="2" applyFont="1" applyFill="1" applyBorder="1" applyAlignment="1">
      <alignment horizontal="centerContinuous"/>
    </xf>
    <xf numFmtId="0" fontId="113" fillId="12" borderId="0" xfId="2" applyFont="1" applyFill="1" applyAlignment="1">
      <alignment horizontal="center"/>
    </xf>
    <xf numFmtId="0" fontId="113" fillId="12" borderId="0" xfId="2" applyFont="1" applyFill="1" applyAlignment="1">
      <alignment horizontal="left"/>
    </xf>
    <xf numFmtId="0" fontId="106" fillId="12" borderId="34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Continuous"/>
    </xf>
    <xf numFmtId="0" fontId="106" fillId="12" borderId="40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"/>
    </xf>
    <xf numFmtId="0" fontId="106" fillId="12" borderId="0" xfId="2" applyFont="1" applyFill="1" applyAlignment="1">
      <alignment horizontal="left"/>
    </xf>
    <xf numFmtId="0" fontId="114" fillId="12" borderId="34" xfId="5" applyFont="1" applyFill="1" applyBorder="1"/>
    <xf numFmtId="0" fontId="115" fillId="12" borderId="0" xfId="5" applyFont="1" applyFill="1"/>
    <xf numFmtId="0" fontId="114" fillId="12" borderId="0" xfId="3" applyFont="1" applyFill="1" applyAlignment="1">
      <alignment horizontal="centerContinuous"/>
    </xf>
    <xf numFmtId="0" fontId="106" fillId="12" borderId="40" xfId="3" applyFont="1" applyFill="1" applyBorder="1" applyAlignment="1">
      <alignment horizontal="left"/>
    </xf>
    <xf numFmtId="0" fontId="116" fillId="12" borderId="0" xfId="2" applyFont="1" applyFill="1" applyAlignment="1">
      <alignment horizontal="center"/>
    </xf>
    <xf numFmtId="0" fontId="101" fillId="12" borderId="34" xfId="5" applyFont="1" applyFill="1" applyBorder="1"/>
    <xf numFmtId="0" fontId="116" fillId="12" borderId="0" xfId="2" applyFont="1" applyFill="1" applyAlignment="1">
      <alignment horizontal="left" vertical="center"/>
    </xf>
    <xf numFmtId="0" fontId="116" fillId="12" borderId="40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center"/>
    </xf>
    <xf numFmtId="0" fontId="101" fillId="12" borderId="36" xfId="5" applyFont="1" applyFill="1" applyBorder="1"/>
    <xf numFmtId="0" fontId="101" fillId="12" borderId="37" xfId="2" applyFont="1" applyFill="1" applyBorder="1"/>
    <xf numFmtId="0" fontId="101" fillId="12" borderId="41" xfId="2" applyFont="1" applyFill="1" applyBorder="1"/>
    <xf numFmtId="0" fontId="101" fillId="12" borderId="0" xfId="3" applyFont="1" applyFill="1" applyAlignment="1">
      <alignment horizontal="left"/>
    </xf>
    <xf numFmtId="0" fontId="106" fillId="15" borderId="0" xfId="5" applyFont="1" applyFill="1" applyAlignment="1">
      <alignment horizontal="center"/>
    </xf>
    <xf numFmtId="0" fontId="101" fillId="15" borderId="25" xfId="5" applyFont="1" applyFill="1" applyBorder="1" applyAlignment="1">
      <alignment vertical="center"/>
    </xf>
    <xf numFmtId="0" fontId="101" fillId="15" borderId="31" xfId="5" applyFont="1" applyFill="1" applyBorder="1" applyProtection="1">
      <protection hidden="1"/>
    </xf>
    <xf numFmtId="17" fontId="101" fillId="15" borderId="176" xfId="5" applyNumberFormat="1" applyFont="1" applyFill="1" applyBorder="1" applyAlignment="1">
      <alignment vertical="center"/>
    </xf>
    <xf numFmtId="15" fontId="101" fillId="15" borderId="25" xfId="5" applyNumberFormat="1" applyFont="1" applyFill="1" applyBorder="1" applyAlignment="1" applyProtection="1">
      <alignment horizontal="left"/>
      <protection hidden="1"/>
    </xf>
    <xf numFmtId="0" fontId="101" fillId="15" borderId="176" xfId="5" applyFont="1" applyFill="1" applyBorder="1" applyAlignment="1">
      <alignment vertical="center"/>
    </xf>
    <xf numFmtId="0" fontId="106" fillId="15" borderId="0" xfId="5" applyFont="1" applyFill="1" applyAlignment="1" applyProtection="1">
      <alignment horizontal="center" vertical="center"/>
      <protection locked="0"/>
    </xf>
    <xf numFmtId="0" fontId="101" fillId="15" borderId="31" xfId="5" applyFont="1" applyFill="1" applyBorder="1" applyAlignment="1">
      <alignment horizontal="right"/>
    </xf>
    <xf numFmtId="0" fontId="101" fillId="12" borderId="179" xfId="5" applyFont="1" applyFill="1" applyBorder="1" applyAlignment="1">
      <alignment horizontal="center"/>
    </xf>
    <xf numFmtId="0" fontId="101" fillId="12" borderId="81" xfId="5" applyFont="1" applyFill="1" applyBorder="1"/>
    <xf numFmtId="0" fontId="101" fillId="12" borderId="179" xfId="5" applyFont="1" applyFill="1" applyBorder="1"/>
    <xf numFmtId="0" fontId="101" fillId="12" borderId="22" xfId="5" applyFont="1" applyFill="1" applyBorder="1"/>
    <xf numFmtId="0" fontId="101" fillId="12" borderId="180" xfId="5" applyFont="1" applyFill="1" applyBorder="1"/>
    <xf numFmtId="0" fontId="101" fillId="12" borderId="155" xfId="5" applyFont="1" applyFill="1" applyBorder="1"/>
    <xf numFmtId="0" fontId="101" fillId="12" borderId="155" xfId="5" applyFont="1" applyFill="1" applyBorder="1" applyAlignment="1">
      <alignment horizontal="center"/>
    </xf>
    <xf numFmtId="0" fontId="117" fillId="12" borderId="0" xfId="5" applyFont="1" applyFill="1" applyAlignment="1">
      <alignment horizontal="left" vertical="center"/>
    </xf>
    <xf numFmtId="0" fontId="115" fillId="12" borderId="0" xfId="5" applyFont="1" applyFill="1" applyAlignment="1">
      <alignment horizontal="left" vertical="center"/>
    </xf>
    <xf numFmtId="0" fontId="118" fillId="12" borderId="0" xfId="5" applyFont="1" applyFill="1" applyAlignment="1">
      <alignment horizontal="left" vertical="center"/>
    </xf>
    <xf numFmtId="0" fontId="101" fillId="12" borderId="0" xfId="5" applyFont="1" applyFill="1" applyAlignment="1">
      <alignment horizontal="center" vertical="center"/>
    </xf>
    <xf numFmtId="0" fontId="101" fillId="12" borderId="0" xfId="5" applyFont="1" applyFill="1" applyAlignment="1">
      <alignment horizontal="left" vertical="center"/>
    </xf>
    <xf numFmtId="0" fontId="118" fillId="12" borderId="0" xfId="5" quotePrefix="1" applyFont="1" applyFill="1" applyAlignment="1">
      <alignment horizontal="left" vertical="center"/>
    </xf>
    <xf numFmtId="0" fontId="106" fillId="12" borderId="0" xfId="5" applyFont="1" applyFill="1" applyAlignment="1">
      <alignment vertical="center"/>
    </xf>
    <xf numFmtId="164" fontId="106" fillId="12" borderId="0" xfId="5" applyNumberFormat="1" applyFont="1" applyFill="1" applyAlignment="1">
      <alignment horizontal="center" vertical="center"/>
    </xf>
    <xf numFmtId="0" fontId="101" fillId="12" borderId="0" xfId="5" quotePrefix="1" applyFont="1" applyFill="1" applyAlignment="1">
      <alignment vertical="center"/>
    </xf>
    <xf numFmtId="0" fontId="106" fillId="12" borderId="0" xfId="5" applyFont="1" applyFill="1" applyAlignment="1">
      <alignment horizontal="center"/>
    </xf>
    <xf numFmtId="0" fontId="119" fillId="12" borderId="0" xfId="5" applyFont="1" applyFill="1" applyAlignment="1">
      <alignment horizontal="center"/>
    </xf>
    <xf numFmtId="0" fontId="120" fillId="12" borderId="0" xfId="5" applyFont="1" applyFill="1"/>
    <xf numFmtId="0" fontId="121" fillId="0" borderId="0" xfId="0" applyFont="1" applyAlignment="1">
      <alignment horizontal="left" readingOrder="1"/>
    </xf>
    <xf numFmtId="0" fontId="101" fillId="12" borderId="33" xfId="0" applyFont="1" applyFill="1" applyBorder="1" applyAlignment="1">
      <alignment vertical="center"/>
    </xf>
    <xf numFmtId="0" fontId="101" fillId="12" borderId="38" xfId="0" applyFont="1" applyFill="1" applyBorder="1" applyAlignment="1">
      <alignment vertical="center"/>
    </xf>
    <xf numFmtId="0" fontId="101" fillId="12" borderId="39" xfId="0" applyFont="1" applyFill="1" applyBorder="1" applyAlignment="1">
      <alignment vertical="center"/>
    </xf>
    <xf numFmtId="0" fontId="101" fillId="12" borderId="34" xfId="0" applyFont="1" applyFill="1" applyBorder="1" applyAlignment="1">
      <alignment vertical="center"/>
    </xf>
    <xf numFmtId="0" fontId="101" fillId="12" borderId="0" xfId="0" applyFont="1" applyFill="1" applyAlignment="1">
      <alignment vertical="center"/>
    </xf>
    <xf numFmtId="0" fontId="101" fillId="12" borderId="40" xfId="0" applyFont="1" applyFill="1" applyBorder="1" applyAlignment="1">
      <alignment vertical="center"/>
    </xf>
    <xf numFmtId="0" fontId="106" fillId="12" borderId="34" xfId="0" applyFont="1" applyFill="1" applyBorder="1" applyAlignment="1">
      <alignment vertical="center"/>
    </xf>
    <xf numFmtId="0" fontId="106" fillId="12" borderId="0" xfId="0" applyFont="1" applyFill="1" applyAlignment="1">
      <alignment vertical="center"/>
    </xf>
    <xf numFmtId="0" fontId="101" fillId="12" borderId="0" xfId="0" applyFont="1" applyFill="1" applyAlignment="1">
      <alignment horizontal="centerContinuous" vertical="center"/>
    </xf>
    <xf numFmtId="0" fontId="101" fillId="12" borderId="40" xfId="0" applyFont="1" applyFill="1" applyBorder="1" applyAlignment="1">
      <alignment horizontal="centerContinuous" vertical="center"/>
    </xf>
    <xf numFmtId="0" fontId="106" fillId="12" borderId="0" xfId="0" applyFont="1" applyFill="1" applyAlignment="1">
      <alignment horizontal="center" vertical="center"/>
    </xf>
    <xf numFmtId="0" fontId="101" fillId="12" borderId="31" xfId="0" applyFont="1" applyFill="1" applyBorder="1" applyAlignment="1">
      <alignment vertical="center"/>
    </xf>
    <xf numFmtId="0" fontId="106" fillId="12" borderId="0" xfId="0" applyFont="1" applyFill="1" applyAlignment="1">
      <alignment horizontal="right" vertical="center"/>
    </xf>
    <xf numFmtId="0" fontId="106" fillId="12" borderId="31" xfId="0" applyFont="1" applyFill="1" applyBorder="1" applyAlignment="1">
      <alignment horizontal="center" vertical="center"/>
    </xf>
    <xf numFmtId="49" fontId="101" fillId="12" borderId="31" xfId="0" applyNumberFormat="1" applyFont="1" applyFill="1" applyBorder="1" applyAlignment="1" applyProtection="1">
      <alignment vertical="center"/>
      <protection locked="0"/>
    </xf>
    <xf numFmtId="0" fontId="101" fillId="12" borderId="31" xfId="0" applyFont="1" applyFill="1" applyBorder="1" applyAlignment="1" applyProtection="1">
      <alignment horizontal="center" vertical="center"/>
      <protection locked="0"/>
    </xf>
    <xf numFmtId="169" fontId="101" fillId="12" borderId="31" xfId="0" applyNumberFormat="1" applyFont="1" applyFill="1" applyBorder="1" applyAlignment="1" applyProtection="1">
      <alignment vertical="center"/>
      <protection locked="0"/>
    </xf>
    <xf numFmtId="0" fontId="111" fillId="12" borderId="0" xfId="0" applyFont="1" applyFill="1" applyAlignment="1">
      <alignment horizontal="center" vertical="center"/>
    </xf>
    <xf numFmtId="0" fontId="123" fillId="12" borderId="0" xfId="0" applyFont="1" applyFill="1" applyAlignment="1" applyProtection="1">
      <alignment vertical="center"/>
      <protection locked="0"/>
    </xf>
    <xf numFmtId="0" fontId="101" fillId="12" borderId="0" xfId="0" applyFont="1" applyFill="1" applyAlignment="1" applyProtection="1">
      <alignment vertical="center"/>
      <protection locked="0"/>
    </xf>
    <xf numFmtId="2" fontId="111" fillId="12" borderId="0" xfId="0" applyNumberFormat="1" applyFont="1" applyFill="1" applyAlignment="1">
      <alignment horizontal="center" vertical="center"/>
    </xf>
    <xf numFmtId="0" fontId="101" fillId="12" borderId="0" xfId="0" applyFont="1" applyFill="1" applyAlignment="1">
      <alignment horizontal="center" vertical="center"/>
    </xf>
    <xf numFmtId="2" fontId="124" fillId="12" borderId="0" xfId="0" applyNumberFormat="1" applyFont="1" applyFill="1" applyAlignment="1">
      <alignment vertical="center"/>
    </xf>
    <xf numFmtId="0" fontId="101" fillId="12" borderId="0" xfId="0" applyFont="1" applyFill="1" applyAlignment="1">
      <alignment horizontal="left" vertical="center"/>
    </xf>
    <xf numFmtId="0" fontId="106" fillId="12" borderId="20" xfId="0" applyFont="1" applyFill="1" applyBorder="1" applyAlignment="1">
      <alignment horizontal="center" vertical="center"/>
    </xf>
    <xf numFmtId="0" fontId="106" fillId="12" borderId="11" xfId="0" applyFont="1" applyFill="1" applyBorder="1" applyAlignment="1">
      <alignment horizontal="center" vertical="center"/>
    </xf>
    <xf numFmtId="0" fontId="101" fillId="12" borderId="12" xfId="0" applyFont="1" applyFill="1" applyBorder="1" applyAlignment="1" applyProtection="1">
      <alignment horizontal="center" vertical="center"/>
      <protection hidden="1"/>
    </xf>
    <xf numFmtId="165" fontId="101" fillId="12" borderId="12" xfId="0" applyNumberFormat="1" applyFont="1" applyFill="1" applyBorder="1" applyAlignment="1" applyProtection="1">
      <alignment horizontal="center" vertical="center"/>
      <protection hidden="1"/>
    </xf>
    <xf numFmtId="2" fontId="101" fillId="12" borderId="12" xfId="0" applyNumberFormat="1" applyFont="1" applyFill="1" applyBorder="1" applyAlignment="1">
      <alignment horizontal="center" vertical="center"/>
    </xf>
    <xf numFmtId="164" fontId="101" fillId="12" borderId="12" xfId="0" applyNumberFormat="1" applyFont="1" applyFill="1" applyBorder="1" applyAlignment="1">
      <alignment horizontal="center" vertical="center"/>
    </xf>
    <xf numFmtId="164" fontId="101" fillId="12" borderId="23" xfId="0" applyNumberFormat="1" applyFont="1" applyFill="1" applyBorder="1" applyAlignment="1">
      <alignment horizontal="center" vertical="center"/>
    </xf>
    <xf numFmtId="164" fontId="101" fillId="12" borderId="2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horizontal="center" vertical="center"/>
    </xf>
    <xf numFmtId="12" fontId="101" fillId="12" borderId="12" xfId="0" applyNumberFormat="1" applyFont="1" applyFill="1" applyBorder="1" applyAlignment="1" applyProtection="1">
      <alignment horizontal="center" vertical="center"/>
      <protection hidden="1"/>
    </xf>
    <xf numFmtId="164" fontId="124" fillId="12" borderId="1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vertical="center"/>
    </xf>
    <xf numFmtId="1" fontId="124" fillId="12" borderId="12" xfId="0" applyNumberFormat="1" applyFont="1" applyFill="1" applyBorder="1" applyAlignment="1">
      <alignment horizontal="center" vertical="center"/>
    </xf>
    <xf numFmtId="1" fontId="106" fillId="12" borderId="20" xfId="0" applyNumberFormat="1" applyFont="1" applyFill="1" applyBorder="1" applyAlignment="1">
      <alignment horizontal="center" vertical="center"/>
    </xf>
    <xf numFmtId="1" fontId="101" fillId="12" borderId="0" xfId="0" applyNumberFormat="1" applyFont="1" applyFill="1" applyAlignment="1">
      <alignment horizontal="center" vertical="center"/>
    </xf>
    <xf numFmtId="1" fontId="101" fillId="12" borderId="20" xfId="0" applyNumberFormat="1" applyFont="1" applyFill="1" applyBorder="1" applyAlignment="1">
      <alignment horizontal="center" vertical="center"/>
    </xf>
    <xf numFmtId="0" fontId="101" fillId="12" borderId="12" xfId="0" applyFont="1" applyFill="1" applyBorder="1" applyAlignment="1">
      <alignment horizontal="center" vertical="center"/>
    </xf>
    <xf numFmtId="0" fontId="101" fillId="12" borderId="56" xfId="0" applyFont="1" applyFill="1" applyBorder="1" applyAlignment="1">
      <alignment vertical="center"/>
    </xf>
    <xf numFmtId="0" fontId="101" fillId="12" borderId="57" xfId="0" applyFont="1" applyFill="1" applyBorder="1" applyAlignment="1">
      <alignment vertical="center"/>
    </xf>
    <xf numFmtId="0" fontId="101" fillId="12" borderId="57" xfId="0" applyFont="1" applyFill="1" applyBorder="1" applyAlignment="1">
      <alignment horizontal="right" vertical="center"/>
    </xf>
    <xf numFmtId="0" fontId="106" fillId="12" borderId="57" xfId="0" applyFont="1" applyFill="1" applyBorder="1" applyAlignment="1">
      <alignment horizontal="center" vertical="center"/>
    </xf>
    <xf numFmtId="165" fontId="106" fillId="12" borderId="57" xfId="0" applyNumberFormat="1" applyFont="1" applyFill="1" applyBorder="1" applyAlignment="1">
      <alignment horizontal="center" vertical="center"/>
    </xf>
    <xf numFmtId="0" fontId="101" fillId="12" borderId="57" xfId="0" applyFont="1" applyFill="1" applyBorder="1" applyAlignment="1">
      <alignment horizontal="left" vertical="center"/>
    </xf>
    <xf numFmtId="164" fontId="106" fillId="12" borderId="58" xfId="0" applyNumberFormat="1" applyFont="1" applyFill="1" applyBorder="1" applyAlignment="1">
      <alignment horizontal="center" vertical="center"/>
    </xf>
    <xf numFmtId="0" fontId="101" fillId="12" borderId="59" xfId="0" applyFont="1" applyFill="1" applyBorder="1" applyAlignment="1">
      <alignment vertical="center"/>
    </xf>
    <xf numFmtId="0" fontId="101" fillId="12" borderId="60" xfId="0" applyFont="1" applyFill="1" applyBorder="1" applyAlignment="1">
      <alignment vertical="center"/>
    </xf>
    <xf numFmtId="0" fontId="101" fillId="12" borderId="60" xfId="0" applyFont="1" applyFill="1" applyBorder="1" applyAlignment="1">
      <alignment horizontal="right" vertical="center"/>
    </xf>
    <xf numFmtId="0" fontId="106" fillId="12" borderId="60" xfId="0" applyFont="1" applyFill="1" applyBorder="1" applyAlignment="1">
      <alignment horizontal="left" vertical="center"/>
    </xf>
    <xf numFmtId="0" fontId="101" fillId="12" borderId="63" xfId="0" applyFont="1" applyFill="1" applyBorder="1" applyAlignment="1">
      <alignment vertical="center"/>
    </xf>
    <xf numFmtId="164" fontId="106" fillId="12" borderId="60" xfId="0" applyNumberFormat="1" applyFont="1" applyFill="1" applyBorder="1" applyAlignment="1">
      <alignment horizontal="center" vertical="center"/>
    </xf>
    <xf numFmtId="0" fontId="101" fillId="12" borderId="60" xfId="0" applyFont="1" applyFill="1" applyBorder="1" applyAlignment="1">
      <alignment horizontal="left" vertical="center"/>
    </xf>
    <xf numFmtId="164" fontId="106" fillId="12" borderId="61" xfId="0" applyNumberFormat="1" applyFont="1" applyFill="1" applyBorder="1" applyAlignment="1">
      <alignment horizontal="center" vertical="center"/>
    </xf>
    <xf numFmtId="0" fontId="101" fillId="12" borderId="35" xfId="0" applyFont="1" applyFill="1" applyBorder="1" applyAlignment="1">
      <alignment vertical="center"/>
    </xf>
    <xf numFmtId="9" fontId="101" fillId="12" borderId="35" xfId="0" applyNumberFormat="1" applyFont="1" applyFill="1" applyBorder="1" applyAlignment="1">
      <alignment vertical="center"/>
    </xf>
    <xf numFmtId="0" fontId="101" fillId="12" borderId="42" xfId="0" applyFont="1" applyFill="1" applyBorder="1" applyAlignment="1">
      <alignment vertical="center"/>
    </xf>
    <xf numFmtId="9" fontId="101" fillId="12" borderId="42" xfId="0" applyNumberFormat="1" applyFont="1" applyFill="1" applyBorder="1" applyAlignment="1">
      <alignment vertical="center"/>
    </xf>
    <xf numFmtId="0" fontId="106" fillId="12" borderId="42" xfId="0" applyFont="1" applyFill="1" applyBorder="1" applyAlignment="1">
      <alignment vertical="center"/>
    </xf>
    <xf numFmtId="0" fontId="106" fillId="12" borderId="30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vertical="center"/>
    </xf>
    <xf numFmtId="0" fontId="106" fillId="12" borderId="24" xfId="0" applyFont="1" applyFill="1" applyBorder="1" applyAlignment="1">
      <alignment vertical="center"/>
    </xf>
    <xf numFmtId="0" fontId="106" fillId="12" borderId="25" xfId="0" applyFont="1" applyFill="1" applyBorder="1" applyAlignment="1">
      <alignment horizontal="center" vertical="center"/>
    </xf>
    <xf numFmtId="0" fontId="106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vertical="center"/>
    </xf>
    <xf numFmtId="0" fontId="101" fillId="12" borderId="24" xfId="0" applyFont="1" applyFill="1" applyBorder="1" applyAlignment="1">
      <alignment vertical="center"/>
    </xf>
    <xf numFmtId="2" fontId="111" fillId="12" borderId="25" xfId="0" applyNumberFormat="1" applyFont="1" applyFill="1" applyBorder="1" applyAlignment="1">
      <alignment horizontal="center" vertical="center"/>
    </xf>
    <xf numFmtId="0" fontId="122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horizontal="center" vertical="center"/>
    </xf>
    <xf numFmtId="164" fontId="101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quotePrefix="1" applyFont="1" applyFill="1" applyBorder="1" applyAlignment="1" applyProtection="1">
      <alignment horizontal="center" vertical="center"/>
      <protection locked="0"/>
    </xf>
    <xf numFmtId="164" fontId="101" fillId="12" borderId="25" xfId="0" quotePrefix="1" applyNumberFormat="1" applyFont="1" applyFill="1" applyBorder="1" applyAlignment="1" applyProtection="1">
      <alignment horizontal="center" vertical="center"/>
      <protection locked="0"/>
    </xf>
    <xf numFmtId="2" fontId="106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applyFont="1" applyFill="1" applyBorder="1" applyAlignment="1">
      <alignment horizontal="left" vertical="center"/>
    </xf>
    <xf numFmtId="0" fontId="106" fillId="12" borderId="63" xfId="0" applyFont="1" applyFill="1" applyBorder="1" applyAlignment="1">
      <alignment vertical="center"/>
    </xf>
    <xf numFmtId="0" fontId="106" fillId="12" borderId="60" xfId="0" applyFont="1" applyFill="1" applyBorder="1" applyAlignment="1">
      <alignment vertical="center"/>
    </xf>
    <xf numFmtId="0" fontId="101" fillId="12" borderId="119" xfId="0" applyFont="1" applyFill="1" applyBorder="1" applyAlignment="1">
      <alignment vertical="center"/>
    </xf>
    <xf numFmtId="0" fontId="101" fillId="12" borderId="175" xfId="5" applyFont="1" applyFill="1" applyBorder="1" applyAlignment="1">
      <alignment vertical="center"/>
    </xf>
    <xf numFmtId="0" fontId="101" fillId="12" borderId="176" xfId="5" applyFont="1" applyFill="1" applyBorder="1" applyAlignment="1" applyProtection="1">
      <alignment horizontal="center"/>
      <protection locked="0"/>
    </xf>
    <xf numFmtId="0" fontId="101" fillId="12" borderId="176" xfId="5" applyFont="1" applyFill="1" applyBorder="1" applyAlignment="1">
      <alignment horizontal="center"/>
    </xf>
    <xf numFmtId="1" fontId="36" fillId="12" borderId="181" xfId="0" applyNumberFormat="1" applyFont="1" applyFill="1" applyBorder="1" applyAlignment="1" applyProtection="1">
      <alignment horizontal="center" vertical="center"/>
      <protection hidden="1"/>
    </xf>
    <xf numFmtId="1" fontId="36" fillId="12" borderId="182" xfId="0" applyNumberFormat="1" applyFont="1" applyFill="1" applyBorder="1" applyAlignment="1" applyProtection="1">
      <alignment horizontal="center" vertical="center"/>
      <protection hidden="1"/>
    </xf>
    <xf numFmtId="1" fontId="36" fillId="12" borderId="183" xfId="0" applyNumberFormat="1" applyFont="1" applyFill="1" applyBorder="1" applyAlignment="1" applyProtection="1">
      <alignment horizontal="center" vertical="center"/>
      <protection hidden="1"/>
    </xf>
    <xf numFmtId="0" fontId="37" fillId="12" borderId="184" xfId="0" applyFont="1" applyFill="1" applyBorder="1" applyAlignment="1">
      <alignment horizontal="center" vertical="center"/>
    </xf>
    <xf numFmtId="0" fontId="37" fillId="12" borderId="27" xfId="0" applyFont="1" applyFill="1" applyBorder="1" applyAlignment="1">
      <alignment horizontal="center" vertical="center"/>
    </xf>
    <xf numFmtId="0" fontId="37" fillId="12" borderId="185" xfId="0" applyFont="1" applyFill="1" applyBorder="1" applyAlignment="1">
      <alignment horizontal="center" vertical="center"/>
    </xf>
    <xf numFmtId="9" fontId="37" fillId="12" borderId="27" xfId="4" applyFont="1" applyFill="1" applyBorder="1" applyAlignment="1">
      <alignment horizontal="center" vertical="center"/>
    </xf>
    <xf numFmtId="9" fontId="37" fillId="12" borderId="185" xfId="4" applyFont="1" applyFill="1" applyBorder="1" applyAlignment="1">
      <alignment horizontal="center" vertical="center"/>
    </xf>
    <xf numFmtId="0" fontId="105" fillId="12" borderId="62" xfId="0" applyFont="1" applyFill="1" applyBorder="1" applyAlignment="1">
      <alignment horizontal="right" vertical="center"/>
    </xf>
    <xf numFmtId="0" fontId="105" fillId="12" borderId="63" xfId="0" applyFont="1" applyFill="1" applyBorder="1" applyAlignment="1">
      <alignment horizontal="right" vertical="center"/>
    </xf>
    <xf numFmtId="2" fontId="123" fillId="12" borderId="0" xfId="0" applyNumberFormat="1" applyFont="1" applyFill="1" applyAlignment="1">
      <alignment vertical="center"/>
    </xf>
    <xf numFmtId="164" fontId="105" fillId="12" borderId="81" xfId="5" applyNumberFormat="1" applyFont="1" applyFill="1" applyBorder="1" applyAlignment="1" applyProtection="1">
      <alignment horizontal="center"/>
      <protection locked="0"/>
    </xf>
    <xf numFmtId="0" fontId="105" fillId="12" borderId="81" xfId="5" applyFont="1" applyFill="1" applyBorder="1" applyAlignment="1" applyProtection="1">
      <alignment horizontal="center"/>
      <protection locked="0"/>
    </xf>
    <xf numFmtId="164" fontId="105" fillId="12" borderId="81" xfId="5" applyNumberFormat="1" applyFont="1" applyFill="1" applyBorder="1" applyAlignment="1">
      <alignment horizontal="center"/>
    </xf>
    <xf numFmtId="0" fontId="105" fillId="12" borderId="81" xfId="5" applyFont="1" applyFill="1" applyBorder="1" applyAlignment="1">
      <alignment horizontal="center"/>
    </xf>
    <xf numFmtId="2" fontId="105" fillId="12" borderId="81" xfId="5" applyNumberFormat="1" applyFont="1" applyFill="1" applyBorder="1" applyAlignment="1" applyProtection="1">
      <alignment horizontal="center"/>
      <protection hidden="1"/>
    </xf>
    <xf numFmtId="0" fontId="105" fillId="12" borderId="81" xfId="5" applyFont="1" applyFill="1" applyBorder="1" applyAlignment="1" applyProtection="1">
      <alignment horizontal="center"/>
      <protection hidden="1"/>
    </xf>
    <xf numFmtId="165" fontId="105" fillId="12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locked="0"/>
    </xf>
    <xf numFmtId="164" fontId="101" fillId="15" borderId="81" xfId="5" applyNumberFormat="1" applyFont="1" applyFill="1" applyBorder="1" applyAlignment="1" applyProtection="1">
      <alignment horizontal="center"/>
      <protection locked="0"/>
    </xf>
    <xf numFmtId="1" fontId="101" fillId="15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hidden="1"/>
    </xf>
    <xf numFmtId="165" fontId="101" fillId="15" borderId="81" xfId="5" applyNumberFormat="1" applyFont="1" applyFill="1" applyBorder="1" applyAlignment="1" applyProtection="1">
      <alignment horizontal="center"/>
      <protection hidden="1"/>
    </xf>
    <xf numFmtId="2" fontId="101" fillId="15" borderId="155" xfId="5" applyNumberFormat="1" applyFont="1" applyFill="1" applyBorder="1" applyAlignment="1" applyProtection="1">
      <alignment horizontal="center"/>
      <protection hidden="1"/>
    </xf>
    <xf numFmtId="164" fontId="101" fillId="15" borderId="155" xfId="5" applyNumberFormat="1" applyFont="1" applyFill="1" applyBorder="1" applyAlignment="1" applyProtection="1">
      <alignment horizontal="center"/>
      <protection hidden="1"/>
    </xf>
    <xf numFmtId="164" fontId="126" fillId="12" borderId="81" xfId="5" applyNumberFormat="1" applyFont="1" applyFill="1" applyBorder="1" applyAlignment="1">
      <alignment horizontal="center"/>
    </xf>
    <xf numFmtId="0" fontId="126" fillId="12" borderId="81" xfId="5" applyFont="1" applyFill="1" applyBorder="1" applyAlignment="1">
      <alignment horizontal="center"/>
    </xf>
    <xf numFmtId="0" fontId="126" fillId="12" borderId="148" xfId="5" applyFont="1" applyFill="1" applyBorder="1" applyAlignment="1">
      <alignment horizontal="center"/>
    </xf>
    <xf numFmtId="1" fontId="126" fillId="12" borderId="148" xfId="5" applyNumberFormat="1" applyFont="1" applyFill="1" applyBorder="1" applyAlignment="1" applyProtection="1">
      <alignment horizontal="center"/>
      <protection locked="0"/>
    </xf>
    <xf numFmtId="1" fontId="126" fillId="12" borderId="81" xfId="5" applyNumberFormat="1" applyFont="1" applyFill="1" applyBorder="1" applyAlignment="1">
      <alignment horizontal="center"/>
    </xf>
    <xf numFmtId="0" fontId="126" fillId="12" borderId="149" xfId="5" applyFont="1" applyFill="1" applyBorder="1" applyAlignment="1" applyProtection="1">
      <alignment horizontal="center"/>
      <protection locked="0"/>
    </xf>
    <xf numFmtId="0" fontId="126" fillId="12" borderId="177" xfId="5" applyFont="1" applyFill="1" applyBorder="1" applyAlignment="1" applyProtection="1">
      <alignment horizontal="center"/>
      <protection locked="0"/>
    </xf>
    <xf numFmtId="0" fontId="126" fillId="12" borderId="169" xfId="5" applyFont="1" applyFill="1" applyBorder="1" applyAlignment="1" applyProtection="1">
      <alignment horizontal="center"/>
      <protection locked="0"/>
    </xf>
    <xf numFmtId="169" fontId="101" fillId="12" borderId="31" xfId="0" applyNumberFormat="1" applyFont="1" applyFill="1" applyBorder="1" applyAlignment="1" applyProtection="1">
      <alignment horizontal="left" vertical="center"/>
      <protection locked="0"/>
    </xf>
    <xf numFmtId="0" fontId="37" fillId="12" borderId="32" xfId="0" applyFont="1" applyFill="1" applyBorder="1" applyAlignment="1">
      <alignment vertical="center"/>
    </xf>
    <xf numFmtId="0" fontId="106" fillId="12" borderId="32" xfId="0" applyFont="1" applyFill="1" applyBorder="1" applyAlignment="1">
      <alignment vertical="center"/>
    </xf>
    <xf numFmtId="0" fontId="101" fillId="12" borderId="32" xfId="0" applyFont="1" applyFill="1" applyBorder="1" applyAlignment="1">
      <alignment vertical="center"/>
    </xf>
    <xf numFmtId="49" fontId="101" fillId="15" borderId="31" xfId="5" applyNumberFormat="1" applyFont="1" applyFill="1" applyBorder="1" applyAlignment="1" applyProtection="1">
      <alignment horizontal="left" vertical="center"/>
      <protection locked="0"/>
    </xf>
    <xf numFmtId="164" fontId="105" fillId="12" borderId="23" xfId="0" applyNumberFormat="1" applyFont="1" applyFill="1" applyBorder="1" applyAlignment="1">
      <alignment horizontal="center" vertical="center"/>
    </xf>
    <xf numFmtId="2" fontId="101" fillId="12" borderId="119" xfId="0" applyNumberFormat="1" applyFont="1" applyFill="1" applyBorder="1" applyAlignment="1">
      <alignment vertical="center"/>
    </xf>
    <xf numFmtId="169" fontId="101" fillId="12" borderId="32" xfId="0" applyNumberFormat="1" applyFont="1" applyFill="1" applyBorder="1" applyAlignment="1" applyProtection="1">
      <alignment vertical="center"/>
      <protection locked="0"/>
    </xf>
    <xf numFmtId="0" fontId="101" fillId="12" borderId="32" xfId="0" applyFont="1" applyFill="1" applyBorder="1" applyAlignment="1" applyProtection="1">
      <alignment vertical="center"/>
      <protection locked="0"/>
    </xf>
    <xf numFmtId="0" fontId="122" fillId="12" borderId="32" xfId="0" applyFont="1" applyFill="1" applyBorder="1" applyAlignment="1">
      <alignment vertical="center"/>
    </xf>
    <xf numFmtId="0" fontId="101" fillId="15" borderId="12" xfId="0" applyFont="1" applyFill="1" applyBorder="1" applyAlignment="1" applyProtection="1">
      <alignment horizontal="center" vertical="center"/>
      <protection hidden="1"/>
    </xf>
    <xf numFmtId="12" fontId="101" fillId="15" borderId="12" xfId="0" applyNumberFormat="1" applyFont="1" applyFill="1" applyBorder="1" applyAlignment="1" applyProtection="1">
      <alignment horizontal="center" vertical="center"/>
      <protection hidden="1"/>
    </xf>
    <xf numFmtId="0" fontId="2" fillId="15" borderId="190" xfId="0" applyFont="1" applyFill="1" applyBorder="1"/>
    <xf numFmtId="0" fontId="138" fillId="15" borderId="190" xfId="0" applyFont="1" applyFill="1" applyBorder="1" applyAlignment="1">
      <alignment vertical="center"/>
    </xf>
    <xf numFmtId="0" fontId="138" fillId="15" borderId="20" xfId="0" applyFont="1" applyFill="1" applyBorder="1" applyAlignment="1">
      <alignment horizontal="left" vertical="center" indent="1"/>
    </xf>
    <xf numFmtId="0" fontId="72" fillId="0" borderId="0" xfId="2" applyFont="1" applyAlignment="1">
      <alignment horizontal="centerContinuous"/>
    </xf>
    <xf numFmtId="0" fontId="75" fillId="0" borderId="0" xfId="2" applyFont="1" applyAlignment="1">
      <alignment horizontal="centerContinuous"/>
    </xf>
    <xf numFmtId="0" fontId="79" fillId="0" borderId="0" xfId="0" applyFont="1"/>
    <xf numFmtId="0" fontId="78" fillId="0" borderId="0" xfId="3" applyFont="1" applyAlignment="1">
      <alignment horizontal="centerContinuous"/>
    </xf>
    <xf numFmtId="0" fontId="77" fillId="0" borderId="0" xfId="3" applyFont="1" applyAlignment="1">
      <alignment horizontal="centerContinuous"/>
    </xf>
    <xf numFmtId="0" fontId="3" fillId="0" borderId="0" xfId="0" applyFont="1" applyAlignment="1">
      <alignment vertical="center"/>
    </xf>
    <xf numFmtId="0" fontId="131" fillId="0" borderId="187" xfId="2" applyFont="1" applyBorder="1" applyAlignment="1">
      <alignment vertical="center"/>
    </xf>
    <xf numFmtId="0" fontId="131" fillId="0" borderId="188" xfId="2" applyFont="1" applyBorder="1" applyAlignment="1">
      <alignment vertical="center"/>
    </xf>
    <xf numFmtId="0" fontId="131" fillId="0" borderId="24" xfId="2" applyFont="1" applyBorder="1" applyAlignment="1">
      <alignment vertical="center"/>
    </xf>
    <xf numFmtId="0" fontId="0" fillId="0" borderId="25" xfId="0" applyBorder="1"/>
    <xf numFmtId="0" fontId="0" fillId="0" borderId="29" xfId="0" applyBorder="1"/>
    <xf numFmtId="0" fontId="49" fillId="0" borderId="0" xfId="0" applyFont="1" applyAlignment="1">
      <alignment horizontal="center"/>
    </xf>
    <xf numFmtId="0" fontId="53" fillId="0" borderId="24" xfId="0" applyFont="1" applyBorder="1"/>
    <xf numFmtId="0" fontId="84" fillId="0" borderId="0" xfId="0" applyFont="1" applyAlignment="1">
      <alignment horizontal="center"/>
    </xf>
    <xf numFmtId="0" fontId="53" fillId="0" borderId="25" xfId="0" applyFont="1" applyBorder="1"/>
    <xf numFmtId="164" fontId="53" fillId="0" borderId="12" xfId="0" applyNumberFormat="1" applyFont="1" applyBorder="1" applyAlignment="1">
      <alignment horizontal="center" vertical="center"/>
    </xf>
    <xf numFmtId="0" fontId="128" fillId="0" borderId="22" xfId="0" applyFont="1" applyBorder="1" applyAlignment="1">
      <alignment horizontal="center"/>
    </xf>
    <xf numFmtId="0" fontId="2" fillId="0" borderId="0" xfId="0" applyFont="1"/>
    <xf numFmtId="0" fontId="53" fillId="0" borderId="0" xfId="0" applyFont="1" applyAlignment="1">
      <alignment vertical="center"/>
    </xf>
    <xf numFmtId="0" fontId="2" fillId="15" borderId="0" xfId="0" applyFont="1" applyFill="1" applyAlignment="1" applyProtection="1">
      <alignment horizontal="center" vertical="center"/>
      <protection locked="0"/>
    </xf>
    <xf numFmtId="0" fontId="34" fillId="0" borderId="0" xfId="2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4" fillId="0" borderId="0" xfId="2" applyFont="1" applyAlignment="1">
      <alignment horizontal="right" vertical="center"/>
    </xf>
    <xf numFmtId="0" fontId="3" fillId="0" borderId="24" xfId="2" applyFont="1" applyBorder="1" applyAlignment="1">
      <alignment vertical="center"/>
    </xf>
    <xf numFmtId="0" fontId="3" fillId="0" borderId="22" xfId="2" applyFont="1" applyBorder="1" applyAlignment="1">
      <alignment vertical="center"/>
    </xf>
    <xf numFmtId="0" fontId="3" fillId="0" borderId="29" xfId="2" applyFont="1" applyBorder="1" applyAlignment="1">
      <alignment horizontal="center" vertical="center"/>
    </xf>
    <xf numFmtId="0" fontId="134" fillId="0" borderId="0" xfId="8" applyFont="1" applyAlignment="1">
      <alignment horizontal="right" vertical="center"/>
    </xf>
    <xf numFmtId="0" fontId="0" fillId="0" borderId="0" xfId="0" applyProtection="1">
      <protection locked="0"/>
    </xf>
    <xf numFmtId="0" fontId="43" fillId="0" borderId="0" xfId="0" applyFont="1" applyProtection="1">
      <protection locked="0"/>
    </xf>
    <xf numFmtId="0" fontId="13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53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32" fillId="0" borderId="0" xfId="8" applyFont="1" applyAlignment="1" applyProtection="1">
      <alignment vertical="center" wrapText="1"/>
      <protection locked="0"/>
    </xf>
    <xf numFmtId="0" fontId="53" fillId="0" borderId="12" xfId="0" applyFont="1" applyBorder="1" applyAlignment="1">
      <alignment vertical="center"/>
    </xf>
    <xf numFmtId="0" fontId="53" fillId="0" borderId="12" xfId="0" applyFont="1" applyBorder="1" applyAlignment="1">
      <alignment horizontal="center" vertical="center"/>
    </xf>
    <xf numFmtId="0" fontId="3" fillId="0" borderId="188" xfId="0" applyFont="1" applyBorder="1" applyAlignment="1">
      <alignment horizontal="left" vertical="center" wrapText="1"/>
    </xf>
    <xf numFmtId="0" fontId="48" fillId="0" borderId="0" xfId="0" applyFont="1"/>
    <xf numFmtId="0" fontId="0" fillId="0" borderId="188" xfId="0" applyBorder="1"/>
    <xf numFmtId="0" fontId="53" fillId="0" borderId="0" xfId="0" applyFont="1" applyAlignment="1" applyProtection="1">
      <alignment horizontal="center" vertical="center"/>
      <protection locked="0"/>
    </xf>
    <xf numFmtId="0" fontId="53" fillId="0" borderId="20" xfId="0" applyFont="1" applyBorder="1" applyAlignment="1">
      <alignment vertical="center"/>
    </xf>
    <xf numFmtId="0" fontId="53" fillId="0" borderId="190" xfId="0" applyFont="1" applyBorder="1" applyAlignment="1">
      <alignment vertical="center"/>
    </xf>
    <xf numFmtId="0" fontId="53" fillId="0" borderId="186" xfId="0" applyFont="1" applyBorder="1" applyAlignment="1">
      <alignment horizontal="center" vertical="center"/>
    </xf>
    <xf numFmtId="164" fontId="75" fillId="0" borderId="0" xfId="0" applyNumberFormat="1" applyFont="1" applyAlignment="1" applyProtection="1">
      <alignment horizontal="center" vertical="center"/>
      <protection locked="0"/>
    </xf>
    <xf numFmtId="0" fontId="135" fillId="0" borderId="0" xfId="8" applyFont="1" applyAlignment="1">
      <alignment vertical="center" wrapText="1"/>
    </xf>
    <xf numFmtId="0" fontId="135" fillId="0" borderId="0" xfId="8" quotePrefix="1" applyFont="1" applyAlignment="1">
      <alignment horizontal="left" vertical="center"/>
    </xf>
    <xf numFmtId="0" fontId="53" fillId="0" borderId="13" xfId="0" applyFont="1" applyBorder="1" applyAlignment="1">
      <alignment vertical="center"/>
    </xf>
    <xf numFmtId="0" fontId="84" fillId="0" borderId="188" xfId="0" applyFont="1" applyBorder="1" applyAlignment="1">
      <alignment vertical="center"/>
    </xf>
    <xf numFmtId="0" fontId="128" fillId="0" borderId="188" xfId="0" applyFont="1" applyBorder="1" applyAlignment="1">
      <alignment horizontal="center"/>
    </xf>
    <xf numFmtId="3" fontId="127" fillId="0" borderId="188" xfId="0" applyNumberFormat="1" applyFont="1" applyBorder="1" applyAlignment="1">
      <alignment horizontal="center"/>
    </xf>
    <xf numFmtId="170" fontId="127" fillId="0" borderId="188" xfId="0" applyNumberFormat="1" applyFont="1" applyBorder="1" applyAlignment="1">
      <alignment horizontal="center"/>
    </xf>
    <xf numFmtId="0" fontId="127" fillId="0" borderId="188" xfId="0" applyFont="1" applyBorder="1"/>
    <xf numFmtId="164" fontId="127" fillId="0" borderId="188" xfId="0" applyNumberFormat="1" applyFont="1" applyBorder="1" applyAlignment="1">
      <alignment vertical="center"/>
    </xf>
    <xf numFmtId="2" fontId="127" fillId="0" borderId="188" xfId="0" applyNumberFormat="1" applyFont="1" applyBorder="1" applyAlignment="1">
      <alignment vertical="center"/>
    </xf>
    <xf numFmtId="0" fontId="135" fillId="0" borderId="0" xfId="8" applyFont="1" applyAlignment="1">
      <alignment horizontal="left" vertical="center"/>
    </xf>
    <xf numFmtId="0" fontId="34" fillId="0" borderId="20" xfId="0" applyFont="1" applyBorder="1" applyAlignment="1">
      <alignment vertical="center"/>
    </xf>
    <xf numFmtId="0" fontId="34" fillId="0" borderId="190" xfId="0" applyFont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133" fillId="0" borderId="0" xfId="0" applyFont="1" applyProtection="1">
      <protection locked="0"/>
    </xf>
    <xf numFmtId="0" fontId="75" fillId="0" borderId="20" xfId="0" applyFont="1" applyBorder="1" applyAlignment="1">
      <alignment vertical="center"/>
    </xf>
    <xf numFmtId="0" fontId="2" fillId="0" borderId="0" xfId="0" applyFont="1" applyProtection="1">
      <protection locked="0"/>
    </xf>
    <xf numFmtId="0" fontId="36" fillId="0" borderId="88" xfId="8" applyFont="1" applyBorder="1" applyAlignment="1" applyProtection="1">
      <alignment vertical="center" wrapText="1"/>
      <protection locked="0"/>
    </xf>
    <xf numFmtId="2" fontId="35" fillId="0" borderId="0" xfId="0" applyNumberFormat="1" applyFont="1" applyAlignment="1" applyProtection="1">
      <alignment horizontal="right" vertical="center"/>
      <protection locked="0"/>
    </xf>
    <xf numFmtId="0" fontId="53" fillId="0" borderId="12" xfId="0" applyFont="1" applyBorder="1" applyAlignment="1">
      <alignment vertical="center" wrapText="1"/>
    </xf>
    <xf numFmtId="165" fontId="2" fillId="0" borderId="12" xfId="0" applyNumberFormat="1" applyFont="1" applyBorder="1" applyAlignment="1">
      <alignment horizontal="center" vertical="center"/>
    </xf>
    <xf numFmtId="0" fontId="2" fillId="15" borderId="0" xfId="0" applyFont="1" applyFill="1"/>
    <xf numFmtId="0" fontId="21" fillId="15" borderId="12" xfId="0" applyFont="1" applyFill="1" applyBorder="1" applyAlignment="1">
      <alignment horizontal="center" vertical="center"/>
    </xf>
    <xf numFmtId="0" fontId="52" fillId="15" borderId="0" xfId="0" applyFont="1" applyFill="1"/>
    <xf numFmtId="0" fontId="142" fillId="15" borderId="0" xfId="0" applyFont="1" applyFill="1"/>
    <xf numFmtId="0" fontId="2" fillId="15" borderId="0" xfId="8" applyFill="1"/>
    <xf numFmtId="0" fontId="143" fillId="15" borderId="0" xfId="0" applyFont="1" applyFill="1"/>
    <xf numFmtId="0" fontId="51" fillId="15" borderId="0" xfId="0" applyFont="1" applyFill="1"/>
    <xf numFmtId="17" fontId="2" fillId="15" borderId="0" xfId="0" applyNumberFormat="1" applyFont="1" applyFill="1" applyAlignment="1">
      <alignment horizontal="center"/>
    </xf>
    <xf numFmtId="0" fontId="2" fillId="15" borderId="12" xfId="0" applyFont="1" applyFill="1" applyBorder="1" applyAlignment="1">
      <alignment horizontal="left" vertical="center" wrapText="1"/>
    </xf>
    <xf numFmtId="0" fontId="2" fillId="15" borderId="12" xfId="0" applyFont="1" applyFill="1" applyBorder="1" applyAlignment="1">
      <alignment horizontal="center" wrapText="1"/>
    </xf>
    <xf numFmtId="176" fontId="2" fillId="15" borderId="12" xfId="0" applyNumberFormat="1" applyFont="1" applyFill="1" applyBorder="1" applyAlignment="1">
      <alignment horizontal="center"/>
    </xf>
    <xf numFmtId="2" fontId="2" fillId="15" borderId="186" xfId="0" applyNumberFormat="1" applyFont="1" applyFill="1" applyBorder="1" applyAlignment="1">
      <alignment horizontal="center"/>
    </xf>
    <xf numFmtId="0" fontId="2" fillId="15" borderId="0" xfId="5" applyFill="1" applyAlignment="1">
      <alignment horizontal="left"/>
    </xf>
    <xf numFmtId="0" fontId="2" fillId="15" borderId="12" xfId="5" applyFill="1" applyBorder="1"/>
    <xf numFmtId="0" fontId="2" fillId="15" borderId="12" xfId="5" applyFill="1" applyBorder="1" applyAlignment="1">
      <alignment horizontal="center"/>
    </xf>
    <xf numFmtId="176" fontId="2" fillId="15" borderId="12" xfId="5" applyNumberFormat="1" applyFill="1" applyBorder="1" applyAlignment="1">
      <alignment horizontal="center"/>
    </xf>
    <xf numFmtId="0" fontId="2" fillId="15" borderId="0" xfId="5" applyFill="1" applyAlignment="1">
      <alignment vertical="center"/>
    </xf>
    <xf numFmtId="0" fontId="2" fillId="15" borderId="20" xfId="0" applyFont="1" applyFill="1" applyBorder="1"/>
    <xf numFmtId="0" fontId="2" fillId="15" borderId="186" xfId="5" applyFill="1" applyBorder="1" applyAlignment="1">
      <alignment horizontal="right" vertical="center"/>
    </xf>
    <xf numFmtId="0" fontId="97" fillId="15" borderId="0" xfId="5" applyFont="1" applyFill="1" applyAlignment="1">
      <alignment horizontal="left"/>
    </xf>
    <xf numFmtId="0" fontId="97" fillId="15" borderId="0" xfId="5" applyFont="1" applyFill="1"/>
    <xf numFmtId="11" fontId="2" fillId="15" borderId="0" xfId="5" applyNumberFormat="1" applyFill="1" applyAlignment="1">
      <alignment horizontal="center"/>
    </xf>
    <xf numFmtId="0" fontId="2" fillId="15" borderId="0" xfId="5" quotePrefix="1" applyFill="1" applyAlignment="1">
      <alignment horizontal="left"/>
    </xf>
    <xf numFmtId="0" fontId="136" fillId="15" borderId="12" xfId="10" applyFont="1" applyFill="1" applyBorder="1" applyAlignment="1">
      <alignment horizontal="center" vertical="center"/>
    </xf>
    <xf numFmtId="177" fontId="136" fillId="15" borderId="12" xfId="10" quotePrefix="1" applyNumberFormat="1" applyFont="1" applyFill="1" applyBorder="1" applyAlignment="1">
      <alignment horizontal="center" vertical="center"/>
    </xf>
    <xf numFmtId="0" fontId="21" fillId="15" borderId="186" xfId="0" applyFont="1" applyFill="1" applyBorder="1" applyAlignment="1">
      <alignment horizontal="right" vertical="center"/>
    </xf>
    <xf numFmtId="11" fontId="53" fillId="15" borderId="191" xfId="5" applyNumberFormat="1" applyFont="1" applyFill="1" applyBorder="1" applyAlignment="1" applyProtection="1">
      <alignment vertical="center"/>
      <protection hidden="1"/>
    </xf>
    <xf numFmtId="168" fontId="53" fillId="15" borderId="12" xfId="5" applyNumberFormat="1" applyFont="1" applyFill="1" applyBorder="1" applyAlignment="1" applyProtection="1">
      <alignment vertical="center"/>
      <protection hidden="1"/>
    </xf>
    <xf numFmtId="0" fontId="53" fillId="17" borderId="195" xfId="5" applyFont="1" applyFill="1" applyBorder="1" applyAlignment="1">
      <alignment vertical="center" wrapText="1"/>
    </xf>
    <xf numFmtId="164" fontId="53" fillId="17" borderId="81" xfId="5" applyNumberFormat="1" applyFont="1" applyFill="1" applyBorder="1" applyAlignment="1" applyProtection="1">
      <alignment horizontal="center" vertical="center"/>
      <protection locked="0" hidden="1"/>
    </xf>
    <xf numFmtId="2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5" fontId="53" fillId="17" borderId="81" xfId="5" applyNumberFormat="1" applyFont="1" applyFill="1" applyBorder="1" applyAlignment="1" applyProtection="1">
      <alignment horizontal="center" vertical="center" wrapText="1"/>
      <protection hidden="1"/>
    </xf>
    <xf numFmtId="11" fontId="53" fillId="17" borderId="81" xfId="5" applyNumberFormat="1" applyFont="1" applyFill="1" applyBorder="1" applyAlignment="1" applyProtection="1">
      <alignment horizontal="center" vertical="center"/>
      <protection hidden="1"/>
    </xf>
    <xf numFmtId="168" fontId="53" fillId="17" borderId="196" xfId="5" applyNumberFormat="1" applyFont="1" applyFill="1" applyBorder="1" applyAlignment="1" applyProtection="1">
      <alignment horizontal="center" vertical="center" wrapText="1"/>
      <protection hidden="1"/>
    </xf>
    <xf numFmtId="0" fontId="3" fillId="15" borderId="195" xfId="0" applyFont="1" applyFill="1" applyBorder="1" applyAlignment="1">
      <alignment vertical="center" wrapText="1"/>
    </xf>
    <xf numFmtId="168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1" xfId="0" applyFont="1" applyFill="1" applyBorder="1" applyAlignment="1" applyProtection="1">
      <alignment horizontal="center" vertical="center"/>
      <protection hidden="1"/>
    </xf>
    <xf numFmtId="2" fontId="53" fillId="15" borderId="81" xfId="0" applyNumberFormat="1" applyFont="1" applyFill="1" applyBorder="1" applyAlignment="1" applyProtection="1">
      <alignment vertical="center"/>
      <protection hidden="1"/>
    </xf>
    <xf numFmtId="168" fontId="53" fillId="15" borderId="81" xfId="0" applyNumberFormat="1" applyFont="1" applyFill="1" applyBorder="1" applyAlignment="1" applyProtection="1">
      <alignment horizontal="center" vertical="center"/>
      <protection hidden="1"/>
    </xf>
    <xf numFmtId="168" fontId="53" fillId="15" borderId="81" xfId="0" quotePrefix="1" applyNumberFormat="1" applyFont="1" applyFill="1" applyBorder="1" applyAlignment="1" applyProtection="1">
      <alignment horizontal="center" vertical="center" wrapText="1"/>
      <protection hidden="1"/>
    </xf>
    <xf numFmtId="168" fontId="53" fillId="15" borderId="196" xfId="0" quotePrefix="1" applyNumberFormat="1" applyFont="1" applyFill="1" applyBorder="1" applyAlignment="1" applyProtection="1">
      <alignment horizontal="center" vertical="center" wrapText="1"/>
      <protection hidden="1"/>
    </xf>
    <xf numFmtId="2" fontId="53" fillId="15" borderId="81" xfId="0" applyNumberFormat="1" applyFont="1" applyFill="1" applyBorder="1" applyAlignment="1" applyProtection="1">
      <alignment horizontal="center" vertical="center"/>
      <protection locked="0"/>
    </xf>
    <xf numFmtId="165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2" fontId="53" fillId="15" borderId="81" xfId="0" applyNumberFormat="1" applyFont="1" applyFill="1" applyBorder="1" applyAlignment="1" applyProtection="1">
      <alignment horizontal="left" vertical="center"/>
      <protection hidden="1"/>
    </xf>
    <xf numFmtId="0" fontId="53" fillId="17" borderId="81" xfId="0" quotePrefix="1" applyFont="1" applyFill="1" applyBorder="1" applyAlignment="1" applyProtection="1">
      <alignment horizontal="center" vertical="center"/>
      <protection hidden="1"/>
    </xf>
    <xf numFmtId="0" fontId="53" fillId="17" borderId="81" xfId="0" applyFont="1" applyFill="1" applyBorder="1" applyAlignment="1" applyProtection="1">
      <alignment horizontal="center" vertical="center"/>
      <protection hidden="1"/>
    </xf>
    <xf numFmtId="2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196" xfId="0" applyNumberFormat="1" applyFont="1" applyFill="1" applyBorder="1" applyAlignment="1" applyProtection="1">
      <alignment horizontal="center" vertical="center"/>
      <protection hidden="1"/>
    </xf>
    <xf numFmtId="2" fontId="53" fillId="15" borderId="197" xfId="0" applyNumberFormat="1" applyFont="1" applyFill="1" applyBorder="1" applyAlignment="1">
      <alignment vertical="center"/>
    </xf>
    <xf numFmtId="2" fontId="53" fillId="15" borderId="198" xfId="0" applyNumberFormat="1" applyFont="1" applyFill="1" applyBorder="1" applyAlignment="1" applyProtection="1">
      <alignment vertical="center"/>
      <protection hidden="1"/>
    </xf>
    <xf numFmtId="0" fontId="53" fillId="15" borderId="200" xfId="0" applyFont="1" applyFill="1" applyBorder="1" applyAlignment="1">
      <alignment vertical="center" wrapText="1"/>
    </xf>
    <xf numFmtId="164" fontId="53" fillId="15" borderId="83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3" xfId="0" quotePrefix="1" applyFont="1" applyFill="1" applyBorder="1" applyAlignment="1">
      <alignment horizontal="center" vertical="center" wrapText="1"/>
    </xf>
    <xf numFmtId="0" fontId="53" fillId="15" borderId="201" xfId="0" quotePrefix="1" applyFont="1" applyFill="1" applyBorder="1" applyAlignment="1">
      <alignment horizontal="center" vertical="center" wrapText="1"/>
    </xf>
    <xf numFmtId="0" fontId="2" fillId="15" borderId="202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 wrapText="1"/>
    </xf>
    <xf numFmtId="0" fontId="2" fillId="15" borderId="204" xfId="0" applyFont="1" applyFill="1" applyBorder="1" applyAlignment="1">
      <alignment horizontal="center" vertical="center" wrapText="1"/>
    </xf>
    <xf numFmtId="0" fontId="53" fillId="17" borderId="205" xfId="0" applyFont="1" applyFill="1" applyBorder="1" applyAlignment="1">
      <alignment horizontal="left" vertical="center" wrapText="1"/>
    </xf>
    <xf numFmtId="168" fontId="53" fillId="17" borderId="80" xfId="0" quotePrefix="1" applyNumberFormat="1" applyFont="1" applyFill="1" applyBorder="1" applyAlignment="1" applyProtection="1">
      <alignment horizontal="center" vertical="center"/>
      <protection hidden="1"/>
    </xf>
    <xf numFmtId="0" fontId="53" fillId="17" borderId="80" xfId="0" applyFont="1" applyFill="1" applyBorder="1" applyAlignment="1" applyProtection="1">
      <alignment horizontal="center" vertical="center"/>
      <protection hidden="1"/>
    </xf>
    <xf numFmtId="2" fontId="53" fillId="17" borderId="80" xfId="0" applyNumberFormat="1" applyFont="1" applyFill="1" applyBorder="1" applyAlignment="1" applyProtection="1">
      <alignment vertical="center"/>
      <protection hidden="1"/>
    </xf>
    <xf numFmtId="165" fontId="53" fillId="17" borderId="80" xfId="0" applyNumberFormat="1" applyFont="1" applyFill="1" applyBorder="1" applyAlignment="1" applyProtection="1">
      <alignment horizontal="center" vertical="center"/>
      <protection hidden="1"/>
    </xf>
    <xf numFmtId="2" fontId="53" fillId="15" borderId="192" xfId="0" applyNumberFormat="1" applyFont="1" applyFill="1" applyBorder="1" applyAlignment="1">
      <alignment vertical="center"/>
    </xf>
    <xf numFmtId="2" fontId="53" fillId="15" borderId="193" xfId="0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0" fontId="5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7" fillId="15" borderId="20" xfId="0" applyFont="1" applyFill="1" applyBorder="1" applyAlignment="1">
      <alignment vertical="center"/>
    </xf>
    <xf numFmtId="0" fontId="147" fillId="15" borderId="20" xfId="0" applyFont="1" applyFill="1" applyBorder="1" applyAlignment="1">
      <alignment vertical="center" wrapText="1"/>
    </xf>
    <xf numFmtId="0" fontId="135" fillId="0" borderId="30" xfId="8" quotePrefix="1" applyFont="1" applyBorder="1" applyAlignment="1" applyProtection="1">
      <alignment horizontal="left" vertical="center"/>
      <protection locked="0"/>
    </xf>
    <xf numFmtId="0" fontId="101" fillId="0" borderId="30" xfId="0" applyFont="1" applyBorder="1" applyProtection="1">
      <protection locked="0"/>
    </xf>
    <xf numFmtId="0" fontId="135" fillId="0" borderId="30" xfId="8" applyFont="1" applyBorder="1" applyAlignment="1">
      <alignment vertical="center" wrapText="1"/>
    </xf>
    <xf numFmtId="0" fontId="3" fillId="0" borderId="0" xfId="5" applyFont="1"/>
    <xf numFmtId="164" fontId="146" fillId="15" borderId="12" xfId="5" applyNumberFormat="1" applyFont="1" applyFill="1" applyBorder="1" applyAlignment="1" applyProtection="1">
      <alignment horizontal="center"/>
      <protection locked="0"/>
    </xf>
    <xf numFmtId="0" fontId="53" fillId="0" borderId="12" xfId="0" applyFont="1" applyBorder="1" applyAlignment="1">
      <alignment horizontal="center" vertical="center" wrapText="1"/>
    </xf>
    <xf numFmtId="0" fontId="2" fillId="0" borderId="12" xfId="5" applyBorder="1" applyAlignment="1">
      <alignment horizontal="center" vertical="center"/>
    </xf>
    <xf numFmtId="0" fontId="148" fillId="0" borderId="12" xfId="5" applyFont="1" applyBorder="1" applyAlignment="1">
      <alignment horizontal="center" vertical="center"/>
    </xf>
    <xf numFmtId="0" fontId="53" fillId="0" borderId="0" xfId="5" applyFont="1" applyAlignment="1">
      <alignment vertical="center"/>
    </xf>
    <xf numFmtId="176" fontId="2" fillId="15" borderId="0" xfId="5" applyNumberFormat="1" applyFill="1" applyAlignment="1">
      <alignment horizontal="center"/>
    </xf>
    <xf numFmtId="0" fontId="122" fillId="12" borderId="0" xfId="0" applyFont="1" applyFill="1" applyAlignment="1">
      <alignment horizontal="center" vertical="center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49" fillId="0" borderId="188" xfId="0" applyFont="1" applyBorder="1" applyAlignment="1">
      <alignment horizontal="center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8" xfId="0" applyNumberFormat="1" applyFont="1" applyFill="1" applyBorder="1" applyAlignment="1" applyProtection="1">
      <alignment horizontal="center" vertical="center"/>
      <protection hidden="1"/>
    </xf>
    <xf numFmtId="0" fontId="0" fillId="0" borderId="34" xfId="0" applyBorder="1" applyAlignment="1">
      <alignment horizontal="center"/>
    </xf>
    <xf numFmtId="0" fontId="0" fillId="0" borderId="90" xfId="0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53" fillId="16" borderId="0" xfId="0" applyFont="1" applyFill="1" applyAlignment="1">
      <alignment vertical="center" wrapText="1"/>
    </xf>
    <xf numFmtId="0" fontId="75" fillId="16" borderId="20" xfId="0" applyFont="1" applyFill="1" applyBorder="1" applyAlignment="1">
      <alignment horizontal="right" vertical="center" wrapText="1"/>
    </xf>
    <xf numFmtId="0" fontId="75" fillId="16" borderId="12" xfId="0" applyFont="1" applyFill="1" applyBorder="1" applyAlignment="1">
      <alignment horizontal="center" vertical="center" wrapText="1"/>
    </xf>
    <xf numFmtId="0" fontId="53" fillId="16" borderId="187" xfId="0" applyFont="1" applyFill="1" applyBorder="1" applyAlignment="1">
      <alignment vertical="center" wrapText="1"/>
    </xf>
    <xf numFmtId="2" fontId="53" fillId="16" borderId="12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2" fillId="15" borderId="190" xfId="0" applyFont="1" applyFill="1" applyBorder="1" applyAlignment="1">
      <alignment vertical="center"/>
    </xf>
    <xf numFmtId="0" fontId="2" fillId="15" borderId="18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3" fillId="15" borderId="0" xfId="0" applyFont="1" applyFill="1" applyAlignment="1">
      <alignment vertical="center"/>
    </xf>
    <xf numFmtId="0" fontId="53" fillId="15" borderId="81" xfId="0" applyFont="1" applyFill="1" applyBorder="1" applyAlignment="1">
      <alignment vertical="center"/>
    </xf>
    <xf numFmtId="0" fontId="53" fillId="15" borderId="188" xfId="5" applyFont="1" applyFill="1" applyBorder="1" applyAlignment="1" applyProtection="1">
      <alignment horizontal="right" vertical="center"/>
      <protection hidden="1"/>
    </xf>
    <xf numFmtId="0" fontId="2" fillId="15" borderId="20" xfId="0" applyFont="1" applyFill="1" applyBorder="1" applyAlignment="1">
      <alignment vertical="center"/>
    </xf>
    <xf numFmtId="0" fontId="53" fillId="15" borderId="190" xfId="5" applyFont="1" applyFill="1" applyBorder="1" applyAlignment="1" applyProtection="1">
      <alignment horizontal="right" vertical="center"/>
      <protection hidden="1"/>
    </xf>
    <xf numFmtId="0" fontId="2" fillId="15" borderId="22" xfId="0" applyFont="1" applyFill="1" applyBorder="1" applyAlignment="1">
      <alignment vertical="center"/>
    </xf>
    <xf numFmtId="0" fontId="2" fillId="15" borderId="29" xfId="0" applyFont="1" applyFill="1" applyBorder="1" applyAlignment="1">
      <alignment vertical="center"/>
    </xf>
    <xf numFmtId="11" fontId="2" fillId="15" borderId="11" xfId="0" applyNumberFormat="1" applyFont="1" applyFill="1" applyBorder="1" applyAlignment="1">
      <alignment vertical="center"/>
    </xf>
    <xf numFmtId="0" fontId="106" fillId="12" borderId="186" xfId="0" applyFont="1" applyFill="1" applyBorder="1" applyAlignment="1">
      <alignment horizontal="center" vertical="center"/>
    </xf>
    <xf numFmtId="0" fontId="106" fillId="12" borderId="191" xfId="0" applyFont="1" applyFill="1" applyBorder="1" applyAlignment="1">
      <alignment horizontal="center" vertical="center"/>
    </xf>
    <xf numFmtId="0" fontId="106" fillId="12" borderId="187" xfId="0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horizontal="center" vertical="center"/>
    </xf>
    <xf numFmtId="164" fontId="101" fillId="12" borderId="186" xfId="0" applyNumberFormat="1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vertical="center"/>
    </xf>
    <xf numFmtId="164" fontId="101" fillId="12" borderId="186" xfId="0" applyNumberFormat="1" applyFont="1" applyFill="1" applyBorder="1" applyAlignment="1">
      <alignment vertical="center"/>
    </xf>
    <xf numFmtId="1" fontId="106" fillId="12" borderId="190" xfId="0" applyNumberFormat="1" applyFont="1" applyFill="1" applyBorder="1" applyAlignment="1">
      <alignment horizontal="center" vertical="center"/>
    </xf>
    <xf numFmtId="1" fontId="106" fillId="12" borderId="190" xfId="0" quotePrefix="1" applyNumberFormat="1" applyFont="1" applyFill="1" applyBorder="1" applyAlignment="1">
      <alignment horizontal="center" vertical="center"/>
    </xf>
    <xf numFmtId="1" fontId="106" fillId="12" borderId="186" xfId="0" applyNumberFormat="1" applyFont="1" applyFill="1" applyBorder="1" applyAlignment="1">
      <alignment horizontal="center" vertical="center"/>
    </xf>
    <xf numFmtId="1" fontId="101" fillId="12" borderId="190" xfId="0" quotePrefix="1" applyNumberFormat="1" applyFont="1" applyFill="1" applyBorder="1" applyAlignment="1">
      <alignment horizontal="center" vertical="center"/>
    </xf>
    <xf numFmtId="1" fontId="101" fillId="12" borderId="186" xfId="0" applyNumberFormat="1" applyFont="1" applyFill="1" applyBorder="1" applyAlignment="1">
      <alignment horizontal="center" vertical="center"/>
    </xf>
    <xf numFmtId="164" fontId="101" fillId="12" borderId="190" xfId="0" quotePrefix="1" applyNumberFormat="1" applyFont="1" applyFill="1" applyBorder="1" applyAlignment="1">
      <alignment horizontal="center" vertical="center"/>
    </xf>
    <xf numFmtId="0" fontId="101" fillId="15" borderId="187" xfId="3" applyFont="1" applyFill="1" applyBorder="1" applyAlignment="1">
      <alignment horizontal="center"/>
    </xf>
    <xf numFmtId="0" fontId="101" fillId="15" borderId="188" xfId="3" applyFont="1" applyFill="1" applyBorder="1" applyAlignment="1">
      <alignment horizontal="center"/>
    </xf>
    <xf numFmtId="0" fontId="101" fillId="15" borderId="189" xfId="3" applyFont="1" applyFill="1" applyBorder="1" applyAlignment="1">
      <alignment horizontal="center"/>
    </xf>
    <xf numFmtId="0" fontId="101" fillId="12" borderId="187" xfId="5" applyFont="1" applyFill="1" applyBorder="1"/>
    <xf numFmtId="0" fontId="101" fillId="12" borderId="188" xfId="5" applyFont="1" applyFill="1" applyBorder="1"/>
    <xf numFmtId="0" fontId="101" fillId="12" borderId="189" xfId="5" applyFont="1" applyFill="1" applyBorder="1"/>
    <xf numFmtId="0" fontId="101" fillId="12" borderId="188" xfId="2" applyFont="1" applyFill="1" applyBorder="1"/>
    <xf numFmtId="0" fontId="101" fillId="12" borderId="188" xfId="2" applyFont="1" applyFill="1" applyBorder="1" applyAlignment="1">
      <alignment horizontal="center"/>
    </xf>
    <xf numFmtId="0" fontId="106" fillId="12" borderId="190" xfId="5" applyFont="1" applyFill="1" applyBorder="1"/>
    <xf numFmtId="0" fontId="96" fillId="15" borderId="187" xfId="3" applyFont="1" applyFill="1" applyBorder="1" applyAlignment="1">
      <alignment horizontal="center" vertical="center"/>
    </xf>
    <xf numFmtId="0" fontId="96" fillId="15" borderId="188" xfId="3" applyFont="1" applyFill="1" applyBorder="1" applyAlignment="1">
      <alignment horizontal="center" vertical="center"/>
    </xf>
    <xf numFmtId="0" fontId="96" fillId="15" borderId="189" xfId="3" applyFont="1" applyFill="1" applyBorder="1" applyAlignment="1">
      <alignment horizontal="center" vertical="center"/>
    </xf>
    <xf numFmtId="0" fontId="101" fillId="12" borderId="187" xfId="5" applyFont="1" applyFill="1" applyBorder="1" applyAlignment="1">
      <alignment horizontal="left"/>
    </xf>
    <xf numFmtId="0" fontId="101" fillId="12" borderId="188" xfId="5" applyFont="1" applyFill="1" applyBorder="1" applyAlignment="1">
      <alignment horizontal="left"/>
    </xf>
    <xf numFmtId="0" fontId="51" fillId="12" borderId="188" xfId="2" applyFont="1" applyFill="1" applyBorder="1"/>
    <xf numFmtId="0" fontId="51" fillId="12" borderId="188" xfId="2" applyFont="1" applyFill="1" applyBorder="1" applyAlignment="1">
      <alignment horizontal="center"/>
    </xf>
    <xf numFmtId="0" fontId="51" fillId="12" borderId="188" xfId="5" applyFont="1" applyFill="1" applyBorder="1"/>
    <xf numFmtId="0" fontId="51" fillId="12" borderId="189" xfId="2" applyFont="1" applyFill="1" applyBorder="1"/>
    <xf numFmtId="0" fontId="3" fillId="12" borderId="187" xfId="2" applyFont="1" applyFill="1" applyBorder="1"/>
    <xf numFmtId="0" fontId="2" fillId="12" borderId="188" xfId="5" applyFill="1" applyBorder="1"/>
    <xf numFmtId="0" fontId="3" fillId="12" borderId="188" xfId="2" applyFont="1" applyFill="1" applyBorder="1" applyAlignment="1">
      <alignment horizontal="left"/>
    </xf>
    <xf numFmtId="0" fontId="2" fillId="12" borderId="188" xfId="5" applyFill="1" applyBorder="1" applyAlignment="1">
      <alignment vertical="center"/>
    </xf>
    <xf numFmtId="0" fontId="2" fillId="12" borderId="189" xfId="5" applyFill="1" applyBorder="1" applyAlignment="1">
      <alignment vertical="center"/>
    </xf>
    <xf numFmtId="0" fontId="21" fillId="12" borderId="191" xfId="5" applyFont="1" applyFill="1" applyBorder="1" applyAlignment="1">
      <alignment horizontal="center" vertical="center"/>
    </xf>
    <xf numFmtId="0" fontId="2" fillId="12" borderId="0" xfId="3" applyFill="1"/>
    <xf numFmtId="0" fontId="0" fillId="0" borderId="189" xfId="0" applyBorder="1"/>
    <xf numFmtId="0" fontId="3" fillId="0" borderId="29" xfId="2" applyFont="1" applyBorder="1" applyAlignment="1">
      <alignment vertical="center"/>
    </xf>
    <xf numFmtId="0" fontId="3" fillId="0" borderId="29" xfId="0" applyFont="1" applyBorder="1" applyAlignment="1" applyProtection="1">
      <alignment vertical="center"/>
      <protection locked="0"/>
    </xf>
    <xf numFmtId="0" fontId="2" fillId="0" borderId="187" xfId="0" applyFont="1" applyBorder="1"/>
    <xf numFmtId="0" fontId="2" fillId="0" borderId="188" xfId="0" applyFont="1" applyBorder="1"/>
    <xf numFmtId="0" fontId="2" fillId="0" borderId="189" xfId="0" applyFont="1" applyBorder="1"/>
    <xf numFmtId="0" fontId="2" fillId="0" borderId="24" xfId="0" applyFont="1" applyBorder="1"/>
    <xf numFmtId="0" fontId="2" fillId="0" borderId="25" xfId="0" applyFont="1" applyBorder="1"/>
    <xf numFmtId="0" fontId="128" fillId="0" borderId="29" xfId="0" applyFont="1" applyBorder="1" applyAlignment="1">
      <alignment horizontal="center"/>
    </xf>
    <xf numFmtId="3" fontId="127" fillId="0" borderId="29" xfId="0" applyNumberFormat="1" applyFont="1" applyBorder="1" applyAlignment="1">
      <alignment horizontal="center"/>
    </xf>
    <xf numFmtId="170" fontId="127" fillId="0" borderId="29" xfId="0" applyNumberFormat="1" applyFont="1" applyBorder="1" applyAlignment="1">
      <alignment horizontal="center"/>
    </xf>
    <xf numFmtId="0" fontId="127" fillId="0" borderId="29" xfId="0" applyFont="1" applyBorder="1"/>
    <xf numFmtId="164" fontId="127" fillId="0" borderId="29" xfId="0" applyNumberFormat="1" applyFont="1" applyBorder="1" applyAlignment="1">
      <alignment vertical="center"/>
    </xf>
    <xf numFmtId="2" fontId="127" fillId="0" borderId="29" xfId="0" applyNumberFormat="1" applyFont="1" applyBorder="1" applyAlignment="1">
      <alignment vertical="center"/>
    </xf>
    <xf numFmtId="2" fontId="127" fillId="0" borderId="23" xfId="0" applyNumberFormat="1" applyFont="1" applyBorder="1" applyAlignment="1">
      <alignment vertical="center"/>
    </xf>
    <xf numFmtId="0" fontId="75" fillId="12" borderId="90" xfId="0" applyFont="1" applyFill="1" applyBorder="1" applyAlignment="1" applyProtection="1">
      <alignment horizontal="centerContinuous"/>
      <protection hidden="1"/>
    </xf>
    <xf numFmtId="0" fontId="75" fillId="12" borderId="34" xfId="0" applyFont="1" applyFill="1" applyBorder="1" applyAlignment="1" applyProtection="1">
      <alignment horizontal="centerContinuous"/>
      <protection hidden="1"/>
    </xf>
    <xf numFmtId="0" fontId="75" fillId="12" borderId="0" xfId="0" applyFont="1" applyFill="1" applyAlignment="1" applyProtection="1">
      <alignment horizontal="centerContinuous"/>
      <protection hidden="1"/>
    </xf>
    <xf numFmtId="0" fontId="75" fillId="12" borderId="40" xfId="0" applyFont="1" applyFill="1" applyBorder="1" applyAlignment="1" applyProtection="1">
      <alignment horizontal="centerContinuous"/>
      <protection hidden="1"/>
    </xf>
    <xf numFmtId="172" fontId="2" fillId="12" borderId="90" xfId="0" applyNumberFormat="1" applyFont="1" applyFill="1" applyBorder="1" applyAlignment="1" applyProtection="1">
      <alignment horizontal="left"/>
      <protection hidden="1"/>
    </xf>
    <xf numFmtId="0" fontId="2" fillId="12" borderId="90" xfId="0" applyFont="1" applyFill="1" applyBorder="1" applyAlignment="1" applyProtection="1">
      <alignment horizontal="left"/>
      <protection hidden="1"/>
    </xf>
    <xf numFmtId="173" fontId="21" fillId="12" borderId="90" xfId="0" applyNumberFormat="1" applyFont="1" applyFill="1" applyBorder="1" applyAlignment="1" applyProtection="1">
      <alignment horizontal="left"/>
      <protection hidden="1"/>
    </xf>
    <xf numFmtId="0" fontId="0" fillId="0" borderId="206" xfId="0" applyBorder="1" applyAlignment="1">
      <alignment horizontal="center"/>
    </xf>
    <xf numFmtId="164" fontId="2" fillId="0" borderId="190" xfId="0" applyNumberFormat="1" applyFont="1" applyBorder="1" applyAlignment="1" applyProtection="1">
      <alignment horizontal="center"/>
      <protection hidden="1"/>
    </xf>
    <xf numFmtId="0" fontId="7" fillId="4" borderId="208" xfId="0" applyFont="1" applyFill="1" applyBorder="1" applyAlignment="1">
      <alignment horizontal="center" vertical="center" wrapText="1"/>
    </xf>
    <xf numFmtId="0" fontId="7" fillId="4" borderId="208" xfId="0" applyFont="1" applyFill="1" applyBorder="1" applyAlignment="1">
      <alignment horizontal="center" vertical="center"/>
    </xf>
    <xf numFmtId="0" fontId="17" fillId="10" borderId="191" xfId="0" applyFont="1" applyFill="1" applyBorder="1" applyAlignment="1">
      <alignment horizontal="center" vertical="center"/>
    </xf>
    <xf numFmtId="0" fontId="27" fillId="10" borderId="209" xfId="0" applyFont="1" applyFill="1" applyBorder="1" applyAlignment="1">
      <alignment vertical="center"/>
    </xf>
    <xf numFmtId="0" fontId="10" fillId="4" borderId="213" xfId="0" applyFont="1" applyFill="1" applyBorder="1" applyAlignment="1">
      <alignment horizontal="center" vertical="center"/>
    </xf>
    <xf numFmtId="0" fontId="10" fillId="4" borderId="208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1" fillId="4" borderId="214" xfId="0" applyFont="1" applyFill="1" applyBorder="1" applyAlignment="1">
      <alignment horizontal="center" vertical="center"/>
    </xf>
    <xf numFmtId="0" fontId="12" fillId="5" borderId="212" xfId="0" applyFont="1" applyFill="1" applyBorder="1" applyAlignment="1">
      <alignment vertical="center"/>
    </xf>
    <xf numFmtId="0" fontId="10" fillId="5" borderId="212" xfId="0" applyFont="1" applyFill="1" applyBorder="1" applyAlignment="1">
      <alignment horizontal="center" vertical="center"/>
    </xf>
    <xf numFmtId="0" fontId="11" fillId="5" borderId="212" xfId="0" applyFont="1" applyFill="1" applyBorder="1" applyAlignment="1">
      <alignment horizontal="center" vertical="center"/>
    </xf>
    <xf numFmtId="0" fontId="12" fillId="6" borderId="212" xfId="0" applyFont="1" applyFill="1" applyBorder="1" applyAlignment="1">
      <alignment vertical="center"/>
    </xf>
    <xf numFmtId="0" fontId="10" fillId="6" borderId="212" xfId="0" applyFont="1" applyFill="1" applyBorder="1" applyAlignment="1">
      <alignment horizontal="center" vertical="center"/>
    </xf>
    <xf numFmtId="0" fontId="11" fillId="6" borderId="212" xfId="0" applyFont="1" applyFill="1" applyBorder="1" applyAlignment="1">
      <alignment horizontal="center" vertical="center"/>
    </xf>
    <xf numFmtId="0" fontId="13" fillId="2" borderId="215" xfId="0" applyFont="1" applyFill="1" applyBorder="1" applyAlignment="1">
      <alignment vertical="center"/>
    </xf>
    <xf numFmtId="1" fontId="12" fillId="2" borderId="216" xfId="0" applyNumberFormat="1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1" fillId="2" borderId="217" xfId="0" applyFont="1" applyFill="1" applyBorder="1" applyAlignment="1">
      <alignment horizontal="center" vertical="center"/>
    </xf>
    <xf numFmtId="0" fontId="11" fillId="2" borderId="220" xfId="0" applyFont="1" applyFill="1" applyBorder="1" applyAlignment="1">
      <alignment horizontal="center" vertical="center"/>
    </xf>
    <xf numFmtId="0" fontId="11" fillId="2" borderId="215" xfId="0" applyFont="1" applyFill="1" applyBorder="1" applyAlignment="1">
      <alignment horizontal="center" vertical="center"/>
    </xf>
    <xf numFmtId="0" fontId="11" fillId="2" borderId="221" xfId="0" applyFont="1" applyFill="1" applyBorder="1" applyAlignment="1">
      <alignment horizontal="center" vertical="center"/>
    </xf>
    <xf numFmtId="168" fontId="5" fillId="0" borderId="19" xfId="0" applyNumberFormat="1" applyFont="1" applyBorder="1" applyAlignment="1">
      <alignment horizontal="center" vertical="center"/>
    </xf>
    <xf numFmtId="168" fontId="5" fillId="0" borderId="5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6" fillId="12" borderId="191" xfId="0" applyFont="1" applyFill="1" applyBorder="1" applyAlignment="1">
      <alignment horizontal="center" vertical="center"/>
    </xf>
    <xf numFmtId="0" fontId="57" fillId="14" borderId="187" xfId="0" applyFont="1" applyFill="1" applyBorder="1" applyAlignment="1">
      <alignment horizontal="center"/>
    </xf>
    <xf numFmtId="0" fontId="57" fillId="14" borderId="188" xfId="0" applyFont="1" applyFill="1" applyBorder="1" applyAlignment="1">
      <alignment horizontal="center"/>
    </xf>
    <xf numFmtId="0" fontId="63" fillId="14" borderId="188" xfId="0" applyFont="1" applyFill="1" applyBorder="1" applyAlignment="1">
      <alignment horizontal="center"/>
    </xf>
    <xf numFmtId="168" fontId="63" fillId="14" borderId="188" xfId="0" applyNumberFormat="1" applyFont="1" applyFill="1" applyBorder="1" applyAlignment="1">
      <alignment horizontal="center"/>
    </xf>
    <xf numFmtId="168" fontId="63" fillId="14" borderId="189" xfId="0" applyNumberFormat="1" applyFont="1" applyFill="1" applyBorder="1" applyAlignment="1">
      <alignment horizontal="center"/>
    </xf>
    <xf numFmtId="0" fontId="2" fillId="12" borderId="0" xfId="0" applyFont="1" applyFill="1" applyAlignment="1">
      <alignment vertical="center"/>
    </xf>
    <xf numFmtId="0" fontId="21" fillId="12" borderId="187" xfId="0" applyFont="1" applyFill="1" applyBorder="1" applyAlignment="1">
      <alignment vertical="center"/>
    </xf>
    <xf numFmtId="0" fontId="3" fillId="12" borderId="187" xfId="2" applyFont="1" applyFill="1" applyBorder="1" applyAlignment="1">
      <alignment horizontal="left"/>
    </xf>
    <xf numFmtId="0" fontId="53" fillId="12" borderId="188" xfId="2" applyFont="1" applyFill="1" applyBorder="1" applyAlignment="1">
      <alignment horizontal="center"/>
    </xf>
    <xf numFmtId="0" fontId="2" fillId="12" borderId="188" xfId="0" applyFont="1" applyFill="1" applyBorder="1"/>
    <xf numFmtId="0" fontId="53" fillId="12" borderId="188" xfId="2" applyFont="1" applyFill="1" applyBorder="1"/>
    <xf numFmtId="0" fontId="34" fillId="12" borderId="188" xfId="0" applyFont="1" applyFill="1" applyBorder="1" applyAlignment="1">
      <alignment horizontal="center" vertical="center"/>
    </xf>
    <xf numFmtId="0" fontId="0" fillId="12" borderId="191" xfId="0" applyFill="1" applyBorder="1" applyAlignment="1">
      <alignment horizontal="center" vertical="center"/>
    </xf>
    <xf numFmtId="0" fontId="0" fillId="12" borderId="189" xfId="0" applyFill="1" applyBorder="1" applyAlignment="1">
      <alignment vertical="center"/>
    </xf>
    <xf numFmtId="0" fontId="0" fillId="12" borderId="188" xfId="0" applyFill="1" applyBorder="1" applyAlignment="1">
      <alignment vertical="center"/>
    </xf>
    <xf numFmtId="1" fontId="53" fillId="17" borderId="80" xfId="0" quotePrefix="1" applyNumberFormat="1" applyFont="1" applyFill="1" applyBorder="1" applyAlignment="1" applyProtection="1">
      <alignment horizontal="center" vertical="center" wrapText="1"/>
      <protection hidden="1"/>
    </xf>
    <xf numFmtId="0" fontId="21" fillId="15" borderId="0" xfId="5" applyFont="1" applyFill="1" applyAlignment="1">
      <alignment vertical="center"/>
    </xf>
    <xf numFmtId="0" fontId="97" fillId="15" borderId="0" xfId="5" applyFont="1" applyFill="1" applyAlignment="1">
      <alignment vertical="center"/>
    </xf>
    <xf numFmtId="0" fontId="2" fillId="15" borderId="0" xfId="0" applyFont="1" applyFill="1" applyAlignment="1">
      <alignment horizontal="left" vertical="center" indent="1"/>
    </xf>
    <xf numFmtId="0" fontId="2" fillId="15" borderId="0" xfId="5" applyFill="1" applyAlignment="1">
      <alignment horizontal="left" vertical="center" indent="1"/>
    </xf>
    <xf numFmtId="0" fontId="53" fillId="0" borderId="12" xfId="5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64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2" fillId="0" borderId="12" xfId="0" applyNumberFormat="1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vertical="center"/>
      <protection locked="0"/>
    </xf>
    <xf numFmtId="0" fontId="53" fillId="0" borderId="57" xfId="0" applyFont="1" applyBorder="1" applyAlignment="1" applyProtection="1">
      <alignment vertical="center"/>
      <protection locked="0"/>
    </xf>
    <xf numFmtId="0" fontId="53" fillId="0" borderId="0" xfId="0" applyFont="1" applyAlignment="1" applyProtection="1">
      <alignment vertical="center"/>
      <protection locked="0"/>
    </xf>
    <xf numFmtId="0" fontId="53" fillId="0" borderId="88" xfId="0" applyFont="1" applyBorder="1" applyAlignment="1" applyProtection="1">
      <alignment vertical="center"/>
      <protection locked="0"/>
    </xf>
    <xf numFmtId="0" fontId="75" fillId="0" borderId="187" xfId="5" applyFont="1" applyBorder="1" applyAlignment="1">
      <alignment vertical="center"/>
    </xf>
    <xf numFmtId="0" fontId="53" fillId="0" borderId="188" xfId="5" applyFont="1" applyBorder="1" applyAlignment="1">
      <alignment vertical="center"/>
    </xf>
    <xf numFmtId="0" fontId="75" fillId="0" borderId="24" xfId="5" applyFont="1" applyBorder="1" applyAlignment="1">
      <alignment vertical="center"/>
    </xf>
    <xf numFmtId="0" fontId="53" fillId="0" borderId="0" xfId="5" applyFont="1" applyAlignment="1">
      <alignment horizontal="center" vertical="center"/>
    </xf>
    <xf numFmtId="0" fontId="53" fillId="0" borderId="25" xfId="5" applyFont="1" applyBorder="1" applyAlignment="1">
      <alignment vertical="center"/>
    </xf>
    <xf numFmtId="0" fontId="75" fillId="0" borderId="22" xfId="5" applyFont="1" applyBorder="1" applyAlignment="1">
      <alignment vertical="center"/>
    </xf>
    <xf numFmtId="0" fontId="53" fillId="0" borderId="29" xfId="5" applyFont="1" applyBorder="1" applyAlignment="1">
      <alignment vertical="center"/>
    </xf>
    <xf numFmtId="15" fontId="53" fillId="0" borderId="29" xfId="5" applyNumberFormat="1" applyFont="1" applyBorder="1" applyAlignment="1">
      <alignment horizontal="center" vertical="center"/>
    </xf>
    <xf numFmtId="0" fontId="53" fillId="0" borderId="23" xfId="5" applyFont="1" applyBorder="1" applyAlignment="1">
      <alignment vertical="center"/>
    </xf>
    <xf numFmtId="0" fontId="53" fillId="0" borderId="190" xfId="0" applyFont="1" applyBorder="1" applyAlignment="1" applyProtection="1">
      <alignment vertical="center"/>
      <protection locked="0"/>
    </xf>
    <xf numFmtId="0" fontId="53" fillId="0" borderId="186" xfId="0" applyFont="1" applyBorder="1" applyAlignment="1" applyProtection="1">
      <alignment vertical="center"/>
      <protection locked="0"/>
    </xf>
    <xf numFmtId="0" fontId="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53" fillId="0" borderId="59" xfId="0" applyFont="1" applyBorder="1" applyAlignment="1" applyProtection="1">
      <alignment vertical="center"/>
      <protection locked="0"/>
    </xf>
    <xf numFmtId="0" fontId="53" fillId="0" borderId="60" xfId="0" applyFont="1" applyBorder="1" applyAlignment="1" applyProtection="1">
      <alignment vertical="center"/>
      <protection locked="0"/>
    </xf>
    <xf numFmtId="0" fontId="135" fillId="0" borderId="0" xfId="8" applyFont="1" applyAlignment="1">
      <alignment horizontal="left" vertical="center" indent="1"/>
    </xf>
    <xf numFmtId="0" fontId="34" fillId="15" borderId="12" xfId="5" applyFont="1" applyFill="1" applyBorder="1" applyAlignment="1" applyProtection="1">
      <alignment vertical="center"/>
      <protection locked="0"/>
    </xf>
    <xf numFmtId="2" fontId="53" fillId="17" borderId="80" xfId="0" quotePrefix="1" applyNumberFormat="1" applyFont="1" applyFill="1" applyBorder="1" applyAlignment="1" applyProtection="1">
      <alignment horizontal="center" vertical="center"/>
      <protection locked="0"/>
    </xf>
    <xf numFmtId="0" fontId="34" fillId="0" borderId="0" xfId="5" applyFont="1" applyAlignment="1">
      <alignment horizontal="right" vertical="center"/>
    </xf>
    <xf numFmtId="0" fontId="146" fillId="15" borderId="12" xfId="5" applyFont="1" applyFill="1" applyBorder="1" applyAlignment="1" applyProtection="1">
      <alignment horizontal="center" vertical="center"/>
      <protection locked="0"/>
    </xf>
    <xf numFmtId="169" fontId="146" fillId="15" borderId="12" xfId="5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Alignment="1" applyProtection="1">
      <alignment horizontal="left" vertical="center"/>
      <protection locked="0" hidden="1"/>
    </xf>
    <xf numFmtId="11" fontId="2" fillId="15" borderId="0" xfId="5" applyNumberFormat="1" applyFill="1" applyAlignment="1">
      <alignment horizontal="left"/>
    </xf>
    <xf numFmtId="15" fontId="2" fillId="15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20" xfId="5" applyBorder="1" applyAlignment="1">
      <alignment horizontal="left" vertical="center"/>
    </xf>
    <xf numFmtId="0" fontId="2" fillId="0" borderId="186" xfId="5" applyBorder="1" applyAlignment="1">
      <alignment horizontal="left" vertical="center"/>
    </xf>
    <xf numFmtId="0" fontId="2" fillId="0" borderId="12" xfId="5" applyBorder="1" applyAlignment="1">
      <alignment horizontal="left" vertical="center"/>
    </xf>
    <xf numFmtId="0" fontId="131" fillId="0" borderId="0" xfId="2" applyFont="1" applyAlignment="1">
      <alignment vertical="center"/>
    </xf>
    <xf numFmtId="0" fontId="131" fillId="0" borderId="0" xfId="2" applyFont="1" applyAlignment="1">
      <alignment vertical="center" wrapText="1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 applyProtection="1">
      <alignment horizontal="center" vertical="center"/>
      <protection locked="0"/>
    </xf>
    <xf numFmtId="0" fontId="51" fillId="0" borderId="0" xfId="0" applyFont="1" applyProtection="1">
      <protection locked="0"/>
    </xf>
    <xf numFmtId="0" fontId="3" fillId="0" borderId="0" xfId="2" applyFont="1" applyAlignment="1">
      <alignment horizontal="right" vertical="center"/>
    </xf>
    <xf numFmtId="180" fontId="3" fillId="0" borderId="25" xfId="0" applyNumberFormat="1" applyFont="1" applyBorder="1" applyAlignment="1" applyProtection="1">
      <alignment horizontal="left" vertical="center"/>
      <protection locked="0" hidden="1"/>
    </xf>
    <xf numFmtId="0" fontId="3" fillId="0" borderId="29" xfId="2" applyFont="1" applyBorder="1" applyAlignment="1">
      <alignment horizontal="right" vertical="center"/>
    </xf>
    <xf numFmtId="169" fontId="3" fillId="0" borderId="23" xfId="0" applyNumberFormat="1" applyFont="1" applyBorder="1" applyAlignment="1" applyProtection="1">
      <alignment horizontal="left" vertical="center"/>
      <protection locked="0"/>
    </xf>
    <xf numFmtId="164" fontId="141" fillId="0" borderId="12" xfId="5" applyNumberFormat="1" applyFont="1" applyBorder="1" applyAlignment="1">
      <alignment horizontal="center" vertical="center"/>
    </xf>
    <xf numFmtId="0" fontId="2" fillId="0" borderId="0" xfId="5" applyAlignment="1">
      <alignment vertical="center"/>
    </xf>
    <xf numFmtId="0" fontId="150" fillId="18" borderId="12" xfId="5" applyFont="1" applyFill="1" applyBorder="1" applyAlignment="1" applyProtection="1">
      <alignment horizontal="center" vertical="center"/>
      <protection locked="0"/>
    </xf>
    <xf numFmtId="182" fontId="3" fillId="0" borderId="0" xfId="0" applyNumberFormat="1" applyFont="1" applyAlignment="1" applyProtection="1">
      <alignment horizontal="left" vertical="center"/>
      <protection locked="0"/>
    </xf>
    <xf numFmtId="183" fontId="3" fillId="0" borderId="25" xfId="0" applyNumberFormat="1" applyFont="1" applyBorder="1" applyAlignment="1" applyProtection="1">
      <alignment horizontal="left" vertical="center"/>
      <protection locked="0" hidden="1"/>
    </xf>
    <xf numFmtId="0" fontId="21" fillId="15" borderId="33" xfId="0" applyFont="1" applyFill="1" applyBorder="1" applyAlignment="1">
      <alignment vertical="center"/>
    </xf>
    <xf numFmtId="0" fontId="21" fillId="15" borderId="38" xfId="0" applyFont="1" applyFill="1" applyBorder="1" applyAlignment="1">
      <alignment vertical="center"/>
    </xf>
    <xf numFmtId="0" fontId="91" fillId="15" borderId="38" xfId="0" applyFont="1" applyFill="1" applyBorder="1" applyAlignment="1">
      <alignment vertical="center"/>
    </xf>
    <xf numFmtId="0" fontId="91" fillId="15" borderId="39" xfId="0" applyFont="1" applyFill="1" applyBorder="1" applyAlignment="1">
      <alignment vertical="center"/>
    </xf>
    <xf numFmtId="0" fontId="51" fillId="0" borderId="0" xfId="0" applyFont="1" applyAlignment="1" applyProtection="1">
      <alignment vertical="center"/>
      <protection hidden="1"/>
    </xf>
    <xf numFmtId="0" fontId="21" fillId="15" borderId="34" xfId="0" applyFont="1" applyFill="1" applyBorder="1" applyAlignment="1">
      <alignment vertical="center"/>
    </xf>
    <xf numFmtId="0" fontId="21" fillId="15" borderId="0" xfId="0" applyFont="1" applyFill="1" applyAlignment="1">
      <alignment vertical="center"/>
    </xf>
    <xf numFmtId="0" fontId="91" fillId="15" borderId="0" xfId="0" applyFont="1" applyFill="1" applyAlignment="1">
      <alignment vertical="center"/>
    </xf>
    <xf numFmtId="0" fontId="91" fillId="15" borderId="40" xfId="0" applyFont="1" applyFill="1" applyBorder="1" applyAlignment="1">
      <alignment vertical="center"/>
    </xf>
    <xf numFmtId="0" fontId="52" fillId="12" borderId="36" xfId="0" applyFont="1" applyFill="1" applyBorder="1" applyAlignment="1">
      <alignment vertical="center"/>
    </xf>
    <xf numFmtId="0" fontId="52" fillId="12" borderId="37" xfId="0" applyFont="1" applyFill="1" applyBorder="1" applyAlignment="1">
      <alignment vertical="center"/>
    </xf>
    <xf numFmtId="0" fontId="52" fillId="12" borderId="41" xfId="0" applyFont="1" applyFill="1" applyBorder="1" applyAlignment="1">
      <alignment vertical="center"/>
    </xf>
    <xf numFmtId="0" fontId="52" fillId="12" borderId="0" xfId="0" applyFont="1" applyFill="1" applyAlignment="1">
      <alignment vertical="center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34" fillId="12" borderId="0" xfId="2" applyFont="1" applyFill="1" applyAlignment="1">
      <alignment vertical="center"/>
    </xf>
    <xf numFmtId="0" fontId="34" fillId="12" borderId="0" xfId="2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wrapText="1"/>
    </xf>
    <xf numFmtId="0" fontId="2" fillId="0" borderId="0" xfId="0" applyFont="1" applyAlignment="1" applyProtection="1">
      <alignment vertical="center"/>
      <protection hidden="1"/>
    </xf>
    <xf numFmtId="0" fontId="51" fillId="0" borderId="224" xfId="0" applyFont="1" applyBorder="1" applyAlignment="1" applyProtection="1">
      <alignment vertical="center"/>
      <protection hidden="1"/>
    </xf>
    <xf numFmtId="0" fontId="51" fillId="0" borderId="225" xfId="0" applyFont="1" applyBorder="1" applyAlignment="1" applyProtection="1">
      <alignment vertical="center"/>
      <protection hidden="1"/>
    </xf>
    <xf numFmtId="0" fontId="51" fillId="0" borderId="226" xfId="0" applyFont="1" applyBorder="1" applyAlignment="1" applyProtection="1">
      <alignment vertical="center"/>
      <protection hidden="1"/>
    </xf>
    <xf numFmtId="0" fontId="51" fillId="0" borderId="24" xfId="0" applyFont="1" applyBorder="1" applyAlignment="1" applyProtection="1">
      <alignment vertical="center"/>
      <protection hidden="1"/>
    </xf>
    <xf numFmtId="0" fontId="51" fillId="0" borderId="25" xfId="0" applyFont="1" applyBorder="1" applyAlignment="1" applyProtection="1">
      <alignment vertical="center"/>
      <protection hidden="1"/>
    </xf>
    <xf numFmtId="0" fontId="51" fillId="0" borderId="12" xfId="0" applyFont="1" applyBorder="1" applyAlignment="1" applyProtection="1">
      <alignment vertical="center"/>
      <protection hidden="1"/>
    </xf>
    <xf numFmtId="0" fontId="53" fillId="0" borderId="222" xfId="0" applyFont="1" applyBorder="1" applyAlignment="1" applyProtection="1">
      <alignment vertical="center"/>
      <protection hidden="1"/>
    </xf>
    <xf numFmtId="0" fontId="51" fillId="0" borderId="227" xfId="0" applyFont="1" applyBorder="1" applyAlignment="1" applyProtection="1">
      <alignment vertical="center"/>
      <protection hidden="1"/>
    </xf>
    <xf numFmtId="0" fontId="51" fillId="0" borderId="223" xfId="0" applyFont="1" applyBorder="1" applyAlignment="1" applyProtection="1">
      <alignment vertical="center"/>
      <protection hidden="1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227" xfId="0" applyFont="1" applyBorder="1" applyAlignment="1">
      <alignment horizontal="center" vertical="center"/>
    </xf>
    <xf numFmtId="0" fontId="21" fillId="0" borderId="223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49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4" fillId="0" borderId="227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3" fillId="0" borderId="222" xfId="0" applyFont="1" applyBorder="1" applyAlignment="1">
      <alignment vertical="center"/>
    </xf>
    <xf numFmtId="0" fontId="53" fillId="0" borderId="227" xfId="0" applyFont="1" applyBorder="1" applyAlignment="1">
      <alignment vertical="center"/>
    </xf>
    <xf numFmtId="0" fontId="53" fillId="0" borderId="227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2" fillId="0" borderId="222" xfId="0" applyFont="1" applyBorder="1" applyAlignment="1">
      <alignment vertical="center"/>
    </xf>
    <xf numFmtId="0" fontId="152" fillId="0" borderId="227" xfId="0" applyFont="1" applyBorder="1" applyAlignment="1">
      <alignment vertical="center"/>
    </xf>
    <xf numFmtId="0" fontId="53" fillId="0" borderId="227" xfId="0" quotePrefix="1" applyFont="1" applyBorder="1" applyAlignment="1">
      <alignment horizontal="center" vertical="center"/>
    </xf>
    <xf numFmtId="0" fontId="53" fillId="0" borderId="225" xfId="0" applyFont="1" applyBorder="1" applyAlignment="1">
      <alignment vertical="center"/>
    </xf>
    <xf numFmtId="0" fontId="3" fillId="12" borderId="0" xfId="0" applyFont="1" applyFill="1" applyAlignment="1" applyProtection="1">
      <alignment horizontal="center" vertical="center"/>
      <protection hidden="1"/>
    </xf>
    <xf numFmtId="0" fontId="153" fillId="15" borderId="0" xfId="0" applyFont="1" applyFill="1" applyAlignment="1">
      <alignment horizontal="center" vertical="center"/>
    </xf>
    <xf numFmtId="164" fontId="3" fillId="15" borderId="25" xfId="0" applyNumberFormat="1" applyFont="1" applyFill="1" applyBorder="1" applyAlignment="1">
      <alignment horizontal="center" vertical="center"/>
    </xf>
    <xf numFmtId="0" fontId="3" fillId="12" borderId="29" xfId="0" applyFont="1" applyFill="1" applyBorder="1" applyAlignment="1" applyProtection="1">
      <alignment horizontal="center" vertical="center"/>
      <protection hidden="1"/>
    </xf>
    <xf numFmtId="0" fontId="51" fillId="0" borderId="13" xfId="0" applyFont="1" applyBorder="1" applyAlignment="1" applyProtection="1">
      <alignment vertical="center"/>
      <protection hidden="1"/>
    </xf>
    <xf numFmtId="0" fontId="75" fillId="0" borderId="226" xfId="0" applyFont="1" applyBorder="1" applyAlignment="1">
      <alignment horizontal="center" vertical="center" wrapText="1"/>
    </xf>
    <xf numFmtId="0" fontId="75" fillId="0" borderId="228" xfId="0" applyFont="1" applyBorder="1" applyAlignment="1">
      <alignment horizontal="center" vertical="center" wrapText="1"/>
    </xf>
    <xf numFmtId="12" fontId="53" fillId="0" borderId="227" xfId="0" applyNumberFormat="1" applyFont="1" applyBorder="1" applyAlignment="1">
      <alignment horizontal="center" vertical="center"/>
    </xf>
    <xf numFmtId="12" fontId="53" fillId="0" borderId="223" xfId="0" applyNumberFormat="1" applyFont="1" applyBorder="1" applyAlignment="1">
      <alignment horizontal="center" vertical="center"/>
    </xf>
    <xf numFmtId="0" fontId="53" fillId="0" borderId="223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2" fontId="53" fillId="0" borderId="0" xfId="0" applyNumberFormat="1" applyFont="1" applyAlignment="1">
      <alignment horizontal="center" vertical="center"/>
    </xf>
    <xf numFmtId="12" fontId="53" fillId="0" borderId="25" xfId="0" applyNumberFormat="1" applyFont="1" applyBorder="1" applyAlignment="1">
      <alignment horizontal="center" vertical="center"/>
    </xf>
    <xf numFmtId="0" fontId="51" fillId="0" borderId="22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vertical="center"/>
      <protection locked="0"/>
    </xf>
    <xf numFmtId="0" fontId="51" fillId="0" borderId="29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29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15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0" fontId="34" fillId="0" borderId="0" xfId="2" applyFont="1" applyAlignment="1">
      <alignment vertical="center"/>
    </xf>
    <xf numFmtId="0" fontId="2" fillId="0" borderId="228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3" fillId="0" borderId="13" xfId="2" applyFont="1" applyBorder="1" applyAlignment="1">
      <alignment horizontal="left" vertical="center" indent="1"/>
    </xf>
    <xf numFmtId="0" fontId="3" fillId="0" borderId="11" xfId="2" applyFont="1" applyBorder="1" applyAlignment="1">
      <alignment horizontal="left" vertical="center" indent="1"/>
    </xf>
    <xf numFmtId="180" fontId="136" fillId="15" borderId="12" xfId="10" applyNumberFormat="1" applyFont="1" applyFill="1" applyBorder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180" fontId="2" fillId="15" borderId="0" xfId="5" applyNumberFormat="1" applyFill="1" applyAlignment="1">
      <alignment horizontal="left"/>
    </xf>
    <xf numFmtId="0" fontId="106" fillId="12" borderId="187" xfId="0" applyFont="1" applyFill="1" applyBorder="1" applyAlignment="1">
      <alignment horizontal="center" vertical="center"/>
    </xf>
    <xf numFmtId="0" fontId="106" fillId="12" borderId="188" xfId="0" applyFont="1" applyFill="1" applyBorder="1" applyAlignment="1">
      <alignment horizontal="center" vertical="center"/>
    </xf>
    <xf numFmtId="0" fontId="106" fillId="12" borderId="189" xfId="0" applyFont="1" applyFill="1" applyBorder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0" fontId="106" fillId="12" borderId="29" xfId="0" applyFont="1" applyFill="1" applyBorder="1" applyAlignment="1">
      <alignment horizontal="center" vertical="center"/>
    </xf>
    <xf numFmtId="0" fontId="106" fillId="12" borderId="23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37" fillId="12" borderId="112" xfId="0" applyFont="1" applyFill="1" applyBorder="1" applyAlignment="1">
      <alignment horizontal="center" vertical="center"/>
    </xf>
    <xf numFmtId="0" fontId="37" fillId="12" borderId="113" xfId="0" applyFont="1" applyFill="1" applyBorder="1" applyAlignment="1">
      <alignment horizontal="center" vertical="center"/>
    </xf>
    <xf numFmtId="0" fontId="37" fillId="12" borderId="114" xfId="0" applyFont="1" applyFill="1" applyBorder="1" applyAlignment="1">
      <alignment horizontal="center" vertical="center"/>
    </xf>
    <xf numFmtId="0" fontId="37" fillId="12" borderId="115" xfId="0" applyFont="1" applyFill="1" applyBorder="1" applyAlignment="1">
      <alignment horizontal="center" vertical="center"/>
    </xf>
    <xf numFmtId="0" fontId="37" fillId="12" borderId="67" xfId="0" applyFont="1" applyFill="1" applyBorder="1" applyAlignment="1">
      <alignment horizontal="center" vertical="center"/>
    </xf>
    <xf numFmtId="0" fontId="37" fillId="12" borderId="68" xfId="0" applyFont="1" applyFill="1" applyBorder="1" applyAlignment="1">
      <alignment horizontal="center" vertical="center"/>
    </xf>
    <xf numFmtId="0" fontId="37" fillId="12" borderId="116" xfId="0" applyFont="1" applyFill="1" applyBorder="1" applyAlignment="1">
      <alignment horizontal="center" vertical="center"/>
    </xf>
    <xf numFmtId="0" fontId="37" fillId="12" borderId="117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122" fillId="12" borderId="62" xfId="0" applyFont="1" applyFill="1" applyBorder="1" applyAlignment="1">
      <alignment horizontal="center" vertical="center"/>
    </xf>
    <xf numFmtId="0" fontId="122" fillId="12" borderId="57" xfId="0" applyFont="1" applyFill="1" applyBorder="1" applyAlignment="1">
      <alignment horizontal="center" vertical="center"/>
    </xf>
    <xf numFmtId="0" fontId="122" fillId="12" borderId="118" xfId="0" applyFont="1" applyFill="1" applyBorder="1" applyAlignment="1">
      <alignment horizontal="center" vertical="center"/>
    </xf>
    <xf numFmtId="2" fontId="125" fillId="12" borderId="60" xfId="0" applyNumberFormat="1" applyFont="1" applyFill="1" applyBorder="1" applyAlignment="1">
      <alignment horizontal="center" vertical="center"/>
    </xf>
    <xf numFmtId="2" fontId="125" fillId="12" borderId="119" xfId="0" applyNumberFormat="1" applyFont="1" applyFill="1" applyBorder="1" applyAlignment="1">
      <alignment horizontal="center" vertical="center"/>
    </xf>
    <xf numFmtId="2" fontId="125" fillId="12" borderId="57" xfId="0" applyNumberFormat="1" applyFont="1" applyFill="1" applyBorder="1" applyAlignment="1">
      <alignment horizontal="center" vertical="center"/>
    </xf>
    <xf numFmtId="2" fontId="125" fillId="12" borderId="118" xfId="0" applyNumberFormat="1" applyFont="1" applyFill="1" applyBorder="1" applyAlignment="1">
      <alignment horizontal="center" vertical="center"/>
    </xf>
    <xf numFmtId="0" fontId="122" fillId="12" borderId="0" xfId="0" applyFont="1" applyFill="1" applyAlignment="1">
      <alignment horizontal="center" vertical="center"/>
    </xf>
    <xf numFmtId="0" fontId="109" fillId="12" borderId="174" xfId="0" applyFont="1" applyFill="1" applyBorder="1" applyAlignment="1">
      <alignment horizontal="center" vertical="center"/>
    </xf>
    <xf numFmtId="0" fontId="109" fillId="12" borderId="91" xfId="0" applyFont="1" applyFill="1" applyBorder="1" applyAlignment="1">
      <alignment horizontal="center" vertical="center"/>
    </xf>
    <xf numFmtId="0" fontId="109" fillId="12" borderId="173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horizontal="left" vertical="center"/>
    </xf>
    <xf numFmtId="0" fontId="101" fillId="12" borderId="175" xfId="0" applyFont="1" applyFill="1" applyBorder="1" applyAlignment="1">
      <alignment horizontal="left" vertical="center"/>
    </xf>
    <xf numFmtId="17" fontId="101" fillId="12" borderId="31" xfId="0" applyNumberFormat="1" applyFont="1" applyFill="1" applyBorder="1" applyAlignment="1">
      <alignment horizontal="left" vertical="center"/>
    </xf>
    <xf numFmtId="17" fontId="101" fillId="12" borderId="176" xfId="0" applyNumberFormat="1" applyFont="1" applyFill="1" applyBorder="1" applyAlignment="1">
      <alignment horizontal="left" vertical="center"/>
    </xf>
    <xf numFmtId="15" fontId="101" fillId="0" borderId="31" xfId="5" applyNumberFormat="1" applyFont="1" applyBorder="1" applyAlignment="1" applyProtection="1">
      <alignment horizontal="left"/>
      <protection hidden="1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101" fillId="12" borderId="176" xfId="0" applyFont="1" applyFill="1" applyBorder="1" applyAlignment="1">
      <alignment horizontal="left" vertical="center"/>
    </xf>
    <xf numFmtId="0" fontId="110" fillId="12" borderId="20" xfId="3" applyFont="1" applyFill="1" applyBorder="1" applyAlignment="1">
      <alignment horizontal="center" vertical="center"/>
    </xf>
    <xf numFmtId="0" fontId="110" fillId="12" borderId="190" xfId="3" applyFont="1" applyFill="1" applyBorder="1" applyAlignment="1">
      <alignment horizontal="center" vertical="center"/>
    </xf>
    <xf numFmtId="0" fontId="110" fillId="12" borderId="186" xfId="3" applyFont="1" applyFill="1" applyBorder="1" applyAlignment="1">
      <alignment horizontal="center" vertical="center"/>
    </xf>
    <xf numFmtId="165" fontId="101" fillId="12" borderId="84" xfId="5" applyNumberFormat="1" applyFont="1" applyFill="1" applyBorder="1" applyAlignment="1" applyProtection="1">
      <alignment horizontal="center"/>
      <protection hidden="1"/>
    </xf>
    <xf numFmtId="165" fontId="101" fillId="12" borderId="176" xfId="5" applyNumberFormat="1" applyFont="1" applyFill="1" applyBorder="1" applyAlignment="1" applyProtection="1">
      <alignment horizontal="center"/>
      <protection hidden="1"/>
    </xf>
    <xf numFmtId="2" fontId="126" fillId="12" borderId="168" xfId="5" applyNumberFormat="1" applyFont="1" applyFill="1" applyBorder="1" applyAlignment="1" applyProtection="1">
      <alignment horizontal="center"/>
      <protection hidden="1"/>
    </xf>
    <xf numFmtId="2" fontId="126" fillId="12" borderId="178" xfId="5" applyNumberFormat="1" applyFont="1" applyFill="1" applyBorder="1" applyAlignment="1" applyProtection="1">
      <alignment horizontal="center"/>
      <protection hidden="1"/>
    </xf>
    <xf numFmtId="0" fontId="101" fillId="0" borderId="0" xfId="6" applyFont="1" applyAlignment="1" applyProtection="1">
      <alignment horizontal="center" vertical="top"/>
    </xf>
    <xf numFmtId="0" fontId="101" fillId="15" borderId="84" xfId="5" applyFont="1" applyFill="1" applyBorder="1" applyAlignment="1" applyProtection="1">
      <alignment horizontal="center"/>
      <protection locked="0"/>
    </xf>
    <xf numFmtId="0" fontId="101" fillId="15" borderId="176" xfId="5" applyFont="1" applyFill="1" applyBorder="1" applyAlignment="1" applyProtection="1">
      <alignment horizontal="center"/>
      <protection locked="0"/>
    </xf>
    <xf numFmtId="0" fontId="101" fillId="15" borderId="84" xfId="5" applyFont="1" applyFill="1" applyBorder="1" applyAlignment="1" applyProtection="1">
      <alignment horizontal="center"/>
      <protection hidden="1"/>
    </xf>
    <xf numFmtId="0" fontId="101" fillId="15" borderId="176" xfId="5" applyFont="1" applyFill="1" applyBorder="1" applyAlignment="1" applyProtection="1">
      <alignment horizontal="center"/>
      <protection hidden="1"/>
    </xf>
    <xf numFmtId="0" fontId="101" fillId="12" borderId="84" xfId="5" applyFont="1" applyFill="1" applyBorder="1" applyAlignment="1" applyProtection="1">
      <alignment horizontal="center"/>
      <protection hidden="1"/>
    </xf>
    <xf numFmtId="0" fontId="101" fillId="12" borderId="176" xfId="5" applyFont="1" applyFill="1" applyBorder="1" applyAlignment="1" applyProtection="1">
      <alignment horizontal="center"/>
      <protection hidden="1"/>
    </xf>
    <xf numFmtId="165" fontId="126" fillId="12" borderId="84" xfId="5" applyNumberFormat="1" applyFont="1" applyFill="1" applyBorder="1" applyAlignment="1" applyProtection="1">
      <alignment horizontal="center"/>
      <protection hidden="1"/>
    </xf>
    <xf numFmtId="165" fontId="126" fillId="12" borderId="176" xfId="5" applyNumberFormat="1" applyFont="1" applyFill="1" applyBorder="1" applyAlignment="1" applyProtection="1">
      <alignment horizontal="center"/>
      <protection hidden="1"/>
    </xf>
    <xf numFmtId="0" fontId="105" fillId="12" borderId="84" xfId="5" applyFont="1" applyFill="1" applyBorder="1" applyAlignment="1" applyProtection="1">
      <alignment horizontal="center"/>
      <protection locked="0"/>
    </xf>
    <xf numFmtId="0" fontId="105" fillId="12" borderId="176" xfId="5" applyFont="1" applyFill="1" applyBorder="1" applyAlignment="1" applyProtection="1">
      <alignment horizontal="center"/>
      <protection locked="0"/>
    </xf>
    <xf numFmtId="0" fontId="105" fillId="12" borderId="84" xfId="5" applyFont="1" applyFill="1" applyBorder="1" applyAlignment="1">
      <alignment horizontal="center"/>
    </xf>
    <xf numFmtId="0" fontId="105" fillId="12" borderId="176" xfId="5" applyFont="1" applyFill="1" applyBorder="1" applyAlignment="1">
      <alignment horizontal="center"/>
    </xf>
    <xf numFmtId="0" fontId="105" fillId="12" borderId="84" xfId="5" applyFont="1" applyFill="1" applyBorder="1" applyAlignment="1" applyProtection="1">
      <alignment horizontal="center"/>
      <protection hidden="1"/>
    </xf>
    <xf numFmtId="0" fontId="105" fillId="12" borderId="176" xfId="5" applyFont="1" applyFill="1" applyBorder="1" applyAlignment="1" applyProtection="1">
      <alignment horizontal="center"/>
      <protection hidden="1"/>
    </xf>
    <xf numFmtId="165" fontId="105" fillId="12" borderId="84" xfId="5" applyNumberFormat="1" applyFont="1" applyFill="1" applyBorder="1" applyAlignment="1" applyProtection="1">
      <alignment horizontal="center"/>
      <protection hidden="1"/>
    </xf>
    <xf numFmtId="165" fontId="105" fillId="12" borderId="176" xfId="5" applyNumberFormat="1" applyFont="1" applyFill="1" applyBorder="1" applyAlignment="1" applyProtection="1">
      <alignment horizontal="center"/>
      <protection hidden="1"/>
    </xf>
    <xf numFmtId="2" fontId="105" fillId="12" borderId="84" xfId="5" applyNumberFormat="1" applyFont="1" applyFill="1" applyBorder="1" applyAlignment="1" applyProtection="1">
      <alignment horizontal="center"/>
      <protection hidden="1"/>
    </xf>
    <xf numFmtId="2" fontId="105" fillId="12" borderId="176" xfId="5" applyNumberFormat="1" applyFont="1" applyFill="1" applyBorder="1" applyAlignment="1" applyProtection="1">
      <alignment horizontal="center"/>
      <protection hidden="1"/>
    </xf>
    <xf numFmtId="0" fontId="106" fillId="12" borderId="20" xfId="2" applyFont="1" applyFill="1" applyBorder="1" applyAlignment="1">
      <alignment horizontal="center"/>
    </xf>
    <xf numFmtId="0" fontId="106" fillId="12" borderId="190" xfId="2" applyFont="1" applyFill="1" applyBorder="1" applyAlignment="1">
      <alignment horizontal="center"/>
    </xf>
    <xf numFmtId="0" fontId="106" fillId="12" borderId="186" xfId="2" applyFont="1" applyFill="1" applyBorder="1" applyAlignment="1">
      <alignment horizontal="center"/>
    </xf>
    <xf numFmtId="0" fontId="114" fillId="12" borderId="0" xfId="3" applyFont="1" applyFill="1" applyAlignment="1">
      <alignment horizontal="center"/>
    </xf>
    <xf numFmtId="0" fontId="114" fillId="12" borderId="40" xfId="3" applyFont="1" applyFill="1" applyBorder="1" applyAlignment="1">
      <alignment horizontal="center"/>
    </xf>
    <xf numFmtId="0" fontId="109" fillId="12" borderId="158" xfId="5" applyFont="1" applyFill="1" applyBorder="1" applyAlignment="1">
      <alignment horizontal="center" vertical="center"/>
    </xf>
    <xf numFmtId="0" fontId="109" fillId="12" borderId="38" xfId="5" applyFont="1" applyFill="1" applyBorder="1" applyAlignment="1">
      <alignment horizontal="center" vertical="center"/>
    </xf>
    <xf numFmtId="0" fontId="109" fillId="12" borderId="157" xfId="5" applyFont="1" applyFill="1" applyBorder="1" applyAlignment="1">
      <alignment horizontal="center" vertical="center"/>
    </xf>
    <xf numFmtId="0" fontId="106" fillId="15" borderId="22" xfId="2" applyFont="1" applyFill="1" applyBorder="1" applyAlignment="1">
      <alignment horizontal="center"/>
    </xf>
    <xf numFmtId="0" fontId="106" fillId="15" borderId="29" xfId="2" applyFont="1" applyFill="1" applyBorder="1" applyAlignment="1">
      <alignment horizontal="center"/>
    </xf>
    <xf numFmtId="0" fontId="106" fillId="15" borderId="23" xfId="2" applyFont="1" applyFill="1" applyBorder="1" applyAlignment="1">
      <alignment horizontal="center"/>
    </xf>
    <xf numFmtId="0" fontId="106" fillId="12" borderId="20" xfId="2" applyFont="1" applyFill="1" applyBorder="1" applyAlignment="1">
      <alignment horizontal="center" vertical="center"/>
    </xf>
    <xf numFmtId="0" fontId="106" fillId="12" borderId="190" xfId="2" applyFont="1" applyFill="1" applyBorder="1" applyAlignment="1">
      <alignment horizontal="center" vertical="center"/>
    </xf>
    <xf numFmtId="0" fontId="106" fillId="12" borderId="186" xfId="2" applyFont="1" applyFill="1" applyBorder="1" applyAlignment="1">
      <alignment horizontal="center" vertical="center"/>
    </xf>
    <xf numFmtId="165" fontId="101" fillId="12" borderId="84" xfId="5" applyNumberFormat="1" applyFont="1" applyFill="1" applyBorder="1" applyAlignment="1">
      <alignment horizontal="center"/>
    </xf>
    <xf numFmtId="165" fontId="101" fillId="12" borderId="176" xfId="5" applyNumberFormat="1" applyFont="1" applyFill="1" applyBorder="1" applyAlignment="1">
      <alignment horizontal="center"/>
    </xf>
    <xf numFmtId="164" fontId="101" fillId="12" borderId="84" xfId="5" applyNumberFormat="1" applyFont="1" applyFill="1" applyBorder="1" applyAlignment="1" applyProtection="1">
      <alignment horizontal="center"/>
      <protection locked="0"/>
    </xf>
    <xf numFmtId="164" fontId="101" fillId="12" borderId="85" xfId="5" applyNumberFormat="1" applyFont="1" applyFill="1" applyBorder="1" applyAlignment="1" applyProtection="1">
      <alignment horizontal="center"/>
      <protection locked="0"/>
    </xf>
    <xf numFmtId="164" fontId="101" fillId="12" borderId="176" xfId="5" applyNumberFormat="1" applyFont="1" applyFill="1" applyBorder="1" applyAlignment="1" applyProtection="1">
      <alignment horizontal="center"/>
      <protection locked="0"/>
    </xf>
    <xf numFmtId="165" fontId="101" fillId="12" borderId="168" xfId="5" applyNumberFormat="1" applyFont="1" applyFill="1" applyBorder="1" applyAlignment="1">
      <alignment horizontal="center"/>
    </xf>
    <xf numFmtId="165" fontId="101" fillId="12" borderId="154" xfId="5" applyNumberFormat="1" applyFont="1" applyFill="1" applyBorder="1" applyAlignment="1">
      <alignment horizontal="center"/>
    </xf>
    <xf numFmtId="165" fontId="101" fillId="12" borderId="178" xfId="5" applyNumberFormat="1" applyFont="1" applyFill="1" applyBorder="1" applyAlignment="1">
      <alignment horizontal="center"/>
    </xf>
    <xf numFmtId="165" fontId="106" fillId="12" borderId="33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6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0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41" xfId="5" applyNumberFormat="1" applyFont="1" applyFill="1" applyBorder="1" applyAlignment="1" applyProtection="1">
      <alignment horizontal="center" vertical="center" wrapText="1"/>
      <protection hidden="1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1" fontId="126" fillId="12" borderId="169" xfId="5" applyNumberFormat="1" applyFont="1" applyFill="1" applyBorder="1" applyAlignment="1" applyProtection="1">
      <alignment horizontal="center"/>
      <protection locked="0"/>
    </xf>
    <xf numFmtId="1" fontId="126" fillId="12" borderId="147" xfId="5" applyNumberFormat="1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5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1" fontId="101" fillId="12" borderId="84" xfId="5" applyNumberFormat="1" applyFont="1" applyFill="1" applyBorder="1" applyAlignment="1" applyProtection="1">
      <alignment horizontal="center"/>
      <protection locked="0"/>
    </xf>
    <xf numFmtId="1" fontId="101" fillId="12" borderId="85" xfId="5" applyNumberFormat="1" applyFont="1" applyFill="1" applyBorder="1" applyAlignment="1" applyProtection="1">
      <alignment horizontal="center"/>
      <protection locked="0"/>
    </xf>
    <xf numFmtId="165" fontId="101" fillId="12" borderId="85" xfId="5" applyNumberFormat="1" applyFont="1" applyFill="1" applyBorder="1" applyAlignment="1">
      <alignment horizontal="center"/>
    </xf>
    <xf numFmtId="0" fontId="106" fillId="12" borderId="172" xfId="5" applyFont="1" applyFill="1" applyBorder="1" applyAlignment="1">
      <alignment horizontal="center"/>
    </xf>
    <xf numFmtId="0" fontId="106" fillId="12" borderId="171" xfId="5" applyFont="1" applyFill="1" applyBorder="1" applyAlignment="1">
      <alignment horizontal="center"/>
    </xf>
    <xf numFmtId="0" fontId="106" fillId="12" borderId="186" xfId="5" applyFont="1" applyFill="1" applyBorder="1" applyAlignment="1">
      <alignment horizontal="center"/>
    </xf>
    <xf numFmtId="0" fontId="109" fillId="12" borderId="174" xfId="5" applyFont="1" applyFill="1" applyBorder="1" applyAlignment="1">
      <alignment horizontal="center" vertical="center"/>
    </xf>
    <xf numFmtId="0" fontId="109" fillId="12" borderId="91" xfId="5" applyFont="1" applyFill="1" applyBorder="1" applyAlignment="1">
      <alignment horizontal="center" vertical="center"/>
    </xf>
    <xf numFmtId="0" fontId="109" fillId="12" borderId="173" xfId="5" applyFont="1" applyFill="1" applyBorder="1" applyAlignment="1">
      <alignment horizontal="center" vertical="center"/>
    </xf>
    <xf numFmtId="0" fontId="52" fillId="12" borderId="20" xfId="2" applyFont="1" applyFill="1" applyBorder="1" applyAlignment="1">
      <alignment horizontal="center" vertical="center"/>
    </xf>
    <xf numFmtId="0" fontId="52" fillId="12" borderId="190" xfId="2" applyFont="1" applyFill="1" applyBorder="1" applyAlignment="1">
      <alignment horizontal="center" vertical="center"/>
    </xf>
    <xf numFmtId="0" fontId="52" fillId="12" borderId="186" xfId="2" applyFont="1" applyFill="1" applyBorder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5" fontId="106" fillId="12" borderId="164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2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4" xfId="5" applyNumberFormat="1" applyFont="1" applyFill="1" applyBorder="1" applyAlignment="1" applyProtection="1">
      <alignment horizontal="center" vertical="center" wrapText="1"/>
      <protection hidden="1"/>
    </xf>
    <xf numFmtId="0" fontId="126" fillId="12" borderId="169" xfId="5" applyFont="1" applyFill="1" applyBorder="1" applyAlignment="1">
      <alignment horizontal="center"/>
    </xf>
    <xf numFmtId="0" fontId="126" fillId="12" borderId="147" xfId="5" applyFont="1" applyFill="1" applyBorder="1" applyAlignment="1">
      <alignment horizontal="center"/>
    </xf>
    <xf numFmtId="0" fontId="2" fillId="12" borderId="187" xfId="5" applyFill="1" applyBorder="1" applyAlignment="1">
      <alignment horizontal="center" vertical="center"/>
    </xf>
    <xf numFmtId="0" fontId="2" fillId="12" borderId="188" xfId="5" applyFill="1" applyBorder="1" applyAlignment="1">
      <alignment horizontal="center" vertical="center"/>
    </xf>
    <xf numFmtId="0" fontId="2" fillId="12" borderId="189" xfId="5" applyFill="1" applyBorder="1" applyAlignment="1">
      <alignment horizontal="center" vertical="center"/>
    </xf>
    <xf numFmtId="0" fontId="2" fillId="12" borderId="22" xfId="5" applyFill="1" applyBorder="1" applyAlignment="1">
      <alignment horizontal="center" vertical="center"/>
    </xf>
    <xf numFmtId="0" fontId="2" fillId="12" borderId="29" xfId="5" applyFill="1" applyBorder="1" applyAlignment="1">
      <alignment horizontal="center" vertical="center"/>
    </xf>
    <xf numFmtId="0" fontId="2" fillId="12" borderId="23" xfId="5" applyFill="1" applyBorder="1" applyAlignment="1">
      <alignment horizontal="center" vertical="center"/>
    </xf>
    <xf numFmtId="164" fontId="2" fillId="12" borderId="191" xfId="5" applyNumberFormat="1" applyFill="1" applyBorder="1" applyAlignment="1">
      <alignment horizontal="center" vertical="center"/>
    </xf>
    <xf numFmtId="164" fontId="2" fillId="12" borderId="11" xfId="5" applyNumberFormat="1" applyFill="1" applyBorder="1" applyAlignment="1">
      <alignment horizontal="center" vertical="center"/>
    </xf>
    <xf numFmtId="0" fontId="2" fillId="12" borderId="191" xfId="5" applyFill="1" applyBorder="1" applyAlignment="1">
      <alignment horizontal="center" vertical="center"/>
    </xf>
    <xf numFmtId="0" fontId="2" fillId="12" borderId="11" xfId="5" applyFill="1" applyBorder="1" applyAlignment="1">
      <alignment horizontal="center" vertical="center"/>
    </xf>
    <xf numFmtId="0" fontId="34" fillId="12" borderId="162" xfId="5" applyFont="1" applyFill="1" applyBorder="1" applyAlignment="1">
      <alignment horizontal="center" vertical="center"/>
    </xf>
    <xf numFmtId="0" fontId="34" fillId="12" borderId="163" xfId="5" applyFont="1" applyFill="1" applyBorder="1" applyAlignment="1">
      <alignment horizontal="center" vertical="center"/>
    </xf>
    <xf numFmtId="0" fontId="34" fillId="12" borderId="165" xfId="5" applyFont="1" applyFill="1" applyBorder="1" applyAlignment="1">
      <alignment horizontal="center" vertical="center"/>
    </xf>
    <xf numFmtId="0" fontId="34" fillId="12" borderId="166" xfId="5" applyFont="1" applyFill="1" applyBorder="1" applyAlignment="1">
      <alignment horizontal="center" vertical="center"/>
    </xf>
    <xf numFmtId="10" fontId="21" fillId="12" borderId="164" xfId="4" applyNumberFormat="1" applyFont="1" applyFill="1" applyBorder="1" applyAlignment="1">
      <alignment horizontal="center" vertical="center"/>
    </xf>
    <xf numFmtId="10" fontId="21" fillId="12" borderId="167" xfId="4" applyNumberFormat="1" applyFont="1" applyFill="1" applyBorder="1" applyAlignment="1">
      <alignment horizontal="center" vertical="center"/>
    </xf>
    <xf numFmtId="0" fontId="21" fillId="12" borderId="0" xfId="5" applyFont="1" applyFill="1" applyAlignment="1">
      <alignment horizontal="center" vertical="center"/>
    </xf>
    <xf numFmtId="0" fontId="34" fillId="12" borderId="0" xfId="5" applyFont="1" applyFill="1" applyAlignment="1">
      <alignment horizontal="center" vertical="center"/>
    </xf>
    <xf numFmtId="0" fontId="21" fillId="12" borderId="20" xfId="2" applyFont="1" applyFill="1" applyBorder="1" applyAlignment="1">
      <alignment horizontal="center"/>
    </xf>
    <xf numFmtId="0" fontId="21" fillId="12" borderId="190" xfId="2" applyFont="1" applyFill="1" applyBorder="1" applyAlignment="1">
      <alignment horizontal="center"/>
    </xf>
    <xf numFmtId="0" fontId="21" fillId="12" borderId="186" xfId="2" applyFont="1" applyFill="1" applyBorder="1" applyAlignment="1">
      <alignment horizontal="center"/>
    </xf>
    <xf numFmtId="0" fontId="49" fillId="12" borderId="0" xfId="5" applyFont="1" applyFill="1" applyAlignment="1">
      <alignment horizontal="center"/>
    </xf>
    <xf numFmtId="0" fontId="21" fillId="12" borderId="191" xfId="5" applyFont="1" applyFill="1" applyBorder="1" applyAlignment="1">
      <alignment horizontal="center" vertical="center"/>
    </xf>
    <xf numFmtId="0" fontId="21" fillId="12" borderId="11" xfId="5" applyFont="1" applyFill="1" applyBorder="1" applyAlignment="1">
      <alignment horizontal="center" vertic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14" fontId="3" fillId="12" borderId="0" xfId="1" applyNumberFormat="1" applyFont="1" applyFill="1" applyAlignment="1" applyProtection="1">
      <alignment horizontal="left" vertical="center"/>
      <protection locked="0"/>
    </xf>
    <xf numFmtId="14" fontId="3" fillId="12" borderId="77" xfId="1" applyNumberFormat="1" applyFont="1" applyFill="1" applyBorder="1" applyAlignment="1" applyProtection="1">
      <alignment horizontal="left" vertical="center"/>
      <protection locked="0"/>
    </xf>
    <xf numFmtId="0" fontId="21" fillId="12" borderId="74" xfId="3" applyFont="1" applyFill="1" applyBorder="1" applyAlignment="1">
      <alignment horizontal="center"/>
    </xf>
    <xf numFmtId="0" fontId="21" fillId="12" borderId="32" xfId="3" applyFont="1" applyFill="1" applyBorder="1" applyAlignment="1">
      <alignment horizontal="center"/>
    </xf>
    <xf numFmtId="0" fontId="21" fillId="12" borderId="75" xfId="3" applyFont="1" applyFill="1" applyBorder="1" applyAlignment="1">
      <alignment horizontal="center"/>
    </xf>
    <xf numFmtId="0" fontId="48" fillId="12" borderId="78" xfId="3" applyFont="1" applyFill="1" applyBorder="1" applyAlignment="1">
      <alignment horizontal="center"/>
    </xf>
    <xf numFmtId="0" fontId="48" fillId="12" borderId="30" xfId="3" applyFont="1" applyFill="1" applyBorder="1" applyAlignment="1">
      <alignment horizontal="center"/>
    </xf>
    <xf numFmtId="0" fontId="48" fillId="12" borderId="79" xfId="3" applyFont="1" applyFill="1" applyBorder="1" applyAlignment="1">
      <alignment horizontal="center"/>
    </xf>
    <xf numFmtId="0" fontId="34" fillId="12" borderId="0" xfId="3" applyFont="1" applyFill="1" applyAlignment="1">
      <alignment horizontal="center"/>
    </xf>
    <xf numFmtId="174" fontId="3" fillId="12" borderId="0" xfId="1" applyNumberFormat="1" applyFont="1" applyFill="1" applyAlignment="1" applyProtection="1">
      <alignment horizontal="left" vertical="center"/>
      <protection locked="0"/>
    </xf>
    <xf numFmtId="0" fontId="49" fillId="12" borderId="0" xfId="0" applyFont="1" applyFill="1" applyAlignment="1">
      <alignment horizontal="center"/>
    </xf>
    <xf numFmtId="0" fontId="75" fillId="12" borderId="76" xfId="0" applyFont="1" applyFill="1" applyBorder="1" applyAlignment="1">
      <alignment horizontal="center"/>
    </xf>
    <xf numFmtId="0" fontId="75" fillId="12" borderId="0" xfId="0" applyFont="1" applyFill="1" applyAlignment="1">
      <alignment horizontal="center"/>
    </xf>
    <xf numFmtId="0" fontId="75" fillId="12" borderId="77" xfId="0" applyFont="1" applyFill="1" applyBorder="1" applyAlignment="1">
      <alignment horizontal="center"/>
    </xf>
    <xf numFmtId="0" fontId="84" fillId="12" borderId="0" xfId="0" applyFont="1" applyFill="1" applyAlignment="1">
      <alignment horizont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2" fontId="75" fillId="12" borderId="81" xfId="0" applyNumberFormat="1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76" xfId="0" applyFont="1" applyFill="1" applyBorder="1" applyAlignment="1">
      <alignment horizontal="center"/>
    </xf>
    <xf numFmtId="0" fontId="3" fillId="12" borderId="77" xfId="0" applyFont="1" applyFill="1" applyBorder="1" applyAlignment="1">
      <alignment horizontal="center"/>
    </xf>
    <xf numFmtId="0" fontId="3" fillId="12" borderId="78" xfId="0" applyFont="1" applyFill="1" applyBorder="1" applyAlignment="1">
      <alignment horizontal="center"/>
    </xf>
    <xf numFmtId="0" fontId="3" fillId="12" borderId="79" xfId="0" applyFont="1" applyFill="1" applyBorder="1" applyAlignment="1">
      <alignment horizontal="center"/>
    </xf>
    <xf numFmtId="0" fontId="76" fillId="12" borderId="0" xfId="3" applyFont="1" applyFill="1" applyAlignment="1">
      <alignment horizontal="center"/>
    </xf>
    <xf numFmtId="0" fontId="2" fillId="0" borderId="0" xfId="6" applyFont="1" applyBorder="1" applyAlignment="1" applyProtection="1">
      <alignment horizontal="center" vertical="center" wrapText="1"/>
    </xf>
    <xf numFmtId="0" fontId="3" fillId="15" borderId="222" xfId="0" applyFont="1" applyFill="1" applyBorder="1" applyAlignment="1" applyProtection="1">
      <alignment horizontal="center" vertical="center"/>
      <protection hidden="1"/>
    </xf>
    <xf numFmtId="0" fontId="3" fillId="15" borderId="227" xfId="0" applyFont="1" applyFill="1" applyBorder="1" applyAlignment="1" applyProtection="1">
      <alignment horizontal="center" vertical="center"/>
      <protection hidden="1"/>
    </xf>
    <xf numFmtId="0" fontId="3" fillId="15" borderId="222" xfId="0" applyFont="1" applyFill="1" applyBorder="1" applyAlignment="1" applyProtection="1">
      <alignment horizontal="center" vertical="center"/>
      <protection locked="0"/>
    </xf>
    <xf numFmtId="0" fontId="3" fillId="15" borderId="223" xfId="0" applyFont="1" applyFill="1" applyBorder="1" applyAlignment="1" applyProtection="1">
      <alignment horizontal="center" vertical="center"/>
      <protection locked="0"/>
    </xf>
    <xf numFmtId="0" fontId="3" fillId="15" borderId="29" xfId="0" applyFont="1" applyFill="1" applyBorder="1" applyAlignment="1" applyProtection="1">
      <alignment horizontal="center" vertical="center"/>
      <protection hidden="1"/>
    </xf>
    <xf numFmtId="0" fontId="3" fillId="0" borderId="227" xfId="0" applyFont="1" applyBorder="1" applyAlignment="1">
      <alignment horizontal="left" vertical="top" wrapText="1"/>
    </xf>
    <xf numFmtId="0" fontId="3" fillId="0" borderId="223" xfId="0" applyFont="1" applyBorder="1" applyAlignment="1">
      <alignment horizontal="left" vertical="top" wrapText="1"/>
    </xf>
    <xf numFmtId="0" fontId="34" fillId="12" borderId="0" xfId="2" applyFont="1" applyFill="1" applyAlignment="1">
      <alignment horizontal="center" vertical="center"/>
    </xf>
    <xf numFmtId="0" fontId="152" fillId="0" borderId="222" xfId="0" applyFont="1" applyBorder="1" applyAlignment="1" applyProtection="1">
      <alignment horizontal="center" vertical="center"/>
      <protection hidden="1"/>
    </xf>
    <xf numFmtId="0" fontId="152" fillId="0" borderId="227" xfId="0" applyFont="1" applyBorder="1" applyAlignment="1" applyProtection="1">
      <alignment horizontal="center" vertical="center"/>
      <protection hidden="1"/>
    </xf>
    <xf numFmtId="0" fontId="152" fillId="0" borderId="223" xfId="0" applyFont="1" applyBorder="1" applyAlignment="1" applyProtection="1">
      <alignment horizontal="center" vertical="center"/>
      <protection hidden="1"/>
    </xf>
    <xf numFmtId="0" fontId="53" fillId="0" borderId="222" xfId="0" applyFont="1" applyBorder="1" applyAlignment="1" applyProtection="1">
      <alignment horizontal="left" vertical="center" wrapText="1"/>
      <protection locked="0"/>
    </xf>
    <xf numFmtId="0" fontId="53" fillId="0" borderId="227" xfId="0" applyFont="1" applyBorder="1" applyAlignment="1" applyProtection="1">
      <alignment horizontal="left" vertical="center" wrapText="1"/>
      <protection locked="0"/>
    </xf>
    <xf numFmtId="0" fontId="53" fillId="0" borderId="223" xfId="0" applyFont="1" applyBorder="1" applyAlignment="1" applyProtection="1">
      <alignment horizontal="left" vertical="center" wrapText="1"/>
      <protection locked="0"/>
    </xf>
    <xf numFmtId="0" fontId="34" fillId="0" borderId="222" xfId="0" applyFont="1" applyBorder="1" applyAlignment="1">
      <alignment horizontal="left" vertical="center"/>
    </xf>
    <xf numFmtId="0" fontId="34" fillId="0" borderId="227" xfId="0" applyFont="1" applyBorder="1" applyAlignment="1">
      <alignment horizontal="left" vertical="center"/>
    </xf>
    <xf numFmtId="0" fontId="75" fillId="0" borderId="222" xfId="0" applyFont="1" applyBorder="1" applyAlignment="1" applyProtection="1">
      <alignment horizontal="center" vertical="center"/>
      <protection hidden="1"/>
    </xf>
    <xf numFmtId="0" fontId="75" fillId="0" borderId="227" xfId="0" applyFont="1" applyBorder="1" applyAlignment="1" applyProtection="1">
      <alignment horizontal="center" vertical="center"/>
      <protection hidden="1"/>
    </xf>
    <xf numFmtId="0" fontId="75" fillId="0" borderId="223" xfId="0" applyFont="1" applyBorder="1" applyAlignment="1" applyProtection="1">
      <alignment horizontal="center" vertical="center"/>
      <protection hidden="1"/>
    </xf>
    <xf numFmtId="0" fontId="75" fillId="0" borderId="222" xfId="0" applyFont="1" applyBorder="1" applyAlignment="1">
      <alignment horizontal="center" vertical="center" wrapText="1"/>
    </xf>
    <xf numFmtId="0" fontId="75" fillId="0" borderId="227" xfId="0" applyFont="1" applyBorder="1" applyAlignment="1">
      <alignment horizontal="center" vertical="center" wrapText="1"/>
    </xf>
    <xf numFmtId="0" fontId="52" fillId="0" borderId="22" xfId="0" applyFont="1" applyBorder="1" applyAlignment="1" applyProtection="1">
      <alignment horizontal="center" vertical="center"/>
      <protection hidden="1"/>
    </xf>
    <xf numFmtId="0" fontId="52" fillId="0" borderId="29" xfId="0" applyFont="1" applyBorder="1" applyAlignment="1" applyProtection="1">
      <alignment horizontal="center" vertical="center"/>
      <protection hidden="1"/>
    </xf>
    <xf numFmtId="0" fontId="52" fillId="0" borderId="23" xfId="0" applyFont="1" applyBorder="1" applyAlignment="1" applyProtection="1">
      <alignment horizontal="center" vertical="center"/>
      <protection hidden="1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151" fillId="0" borderId="222" xfId="0" applyFont="1" applyBorder="1" applyAlignment="1">
      <alignment horizontal="center" vertical="center"/>
    </xf>
    <xf numFmtId="0" fontId="151" fillId="0" borderId="223" xfId="0" applyFont="1" applyBorder="1" applyAlignment="1">
      <alignment horizontal="center" vertical="center"/>
    </xf>
    <xf numFmtId="0" fontId="151" fillId="0" borderId="12" xfId="0" applyFont="1" applyBorder="1" applyAlignment="1">
      <alignment horizontal="center" vertical="center"/>
    </xf>
    <xf numFmtId="0" fontId="75" fillId="12" borderId="222" xfId="2" applyFont="1" applyFill="1" applyBorder="1" applyAlignment="1">
      <alignment horizontal="center" vertical="center"/>
    </xf>
    <xf numFmtId="0" fontId="75" fillId="12" borderId="223" xfId="2" applyFont="1" applyFill="1" applyBorder="1" applyAlignment="1">
      <alignment horizontal="center" vertical="center"/>
    </xf>
    <xf numFmtId="0" fontId="75" fillId="12" borderId="12" xfId="2" applyFont="1" applyFill="1" applyBorder="1" applyAlignment="1">
      <alignment horizontal="center" vertical="center"/>
    </xf>
    <xf numFmtId="0" fontId="52" fillId="0" borderId="224" xfId="0" applyFont="1" applyBorder="1" applyAlignment="1" applyProtection="1">
      <alignment horizontal="center" vertical="center" wrapText="1"/>
      <protection hidden="1"/>
    </xf>
    <xf numFmtId="0" fontId="52" fillId="0" borderId="225" xfId="0" applyFont="1" applyBorder="1" applyAlignment="1" applyProtection="1">
      <alignment horizontal="center" vertical="center" wrapText="1"/>
      <protection hidden="1"/>
    </xf>
    <xf numFmtId="0" fontId="52" fillId="0" borderId="226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left" vertical="center" wrapText="1"/>
      <protection locked="0"/>
    </xf>
    <xf numFmtId="0" fontId="34" fillId="0" borderId="0" xfId="5" applyFont="1" applyAlignment="1">
      <alignment horizontal="center" vertical="center" wrapText="1"/>
    </xf>
    <xf numFmtId="0" fontId="53" fillId="0" borderId="0" xfId="8" quotePrefix="1" applyFont="1" applyAlignment="1">
      <alignment horizontal="left" vertical="center"/>
    </xf>
    <xf numFmtId="0" fontId="53" fillId="0" borderId="0" xfId="8" quotePrefix="1" applyFont="1" applyAlignment="1">
      <alignment horizontal="left" vertical="center" wrapText="1"/>
    </xf>
    <xf numFmtId="0" fontId="135" fillId="0" borderId="0" xfId="8" quotePrefix="1" applyFont="1" applyAlignment="1">
      <alignment horizontal="left" vertical="center" wrapText="1"/>
    </xf>
    <xf numFmtId="0" fontId="53" fillId="0" borderId="20" xfId="0" applyFont="1" applyBorder="1" applyAlignment="1">
      <alignment horizontal="left" vertical="center" wrapText="1"/>
    </xf>
    <xf numFmtId="0" fontId="53" fillId="0" borderId="190" xfId="0" applyFont="1" applyBorder="1" applyAlignment="1">
      <alignment horizontal="left" vertical="center" wrapText="1"/>
    </xf>
    <xf numFmtId="0" fontId="49" fillId="0" borderId="188" xfId="0" applyFont="1" applyBorder="1" applyAlignment="1">
      <alignment horizontal="center"/>
    </xf>
    <xf numFmtId="0" fontId="129" fillId="0" borderId="0" xfId="0" applyFont="1" applyAlignment="1">
      <alignment horizontal="center" vertical="center"/>
    </xf>
    <xf numFmtId="181" fontId="129" fillId="0" borderId="0" xfId="0" applyNumberFormat="1" applyFont="1" applyAlignment="1" applyProtection="1">
      <alignment horizontal="center"/>
      <protection locked="0"/>
    </xf>
    <xf numFmtId="0" fontId="52" fillId="0" borderId="187" xfId="0" applyFont="1" applyBorder="1" applyAlignment="1">
      <alignment horizontal="center" vertical="center" wrapText="1"/>
    </xf>
    <xf numFmtId="0" fontId="52" fillId="0" borderId="188" xfId="0" applyFont="1" applyBorder="1" applyAlignment="1">
      <alignment horizontal="center" vertical="center" wrapText="1"/>
    </xf>
    <xf numFmtId="0" fontId="52" fillId="0" borderId="189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3" fillId="0" borderId="12" xfId="5" applyFont="1" applyBorder="1" applyAlignment="1" applyProtection="1">
      <alignment horizontal="left" vertical="center"/>
      <protection locked="0"/>
    </xf>
    <xf numFmtId="0" fontId="53" fillId="0" borderId="12" xfId="5" applyFont="1" applyBorder="1" applyAlignment="1">
      <alignment horizontal="center" vertical="center"/>
    </xf>
    <xf numFmtId="0" fontId="75" fillId="0" borderId="12" xfId="5" applyFont="1" applyBorder="1" applyAlignment="1">
      <alignment horizontal="center" vertical="center"/>
    </xf>
    <xf numFmtId="0" fontId="2" fillId="0" borderId="12" xfId="5" applyBorder="1" applyAlignment="1">
      <alignment horizontal="left" vertical="center"/>
    </xf>
    <xf numFmtId="0" fontId="75" fillId="0" borderId="20" xfId="5" applyFont="1" applyBorder="1" applyAlignment="1">
      <alignment horizontal="center" vertical="center"/>
    </xf>
    <xf numFmtId="0" fontId="75" fillId="0" borderId="190" xfId="5" applyFont="1" applyBorder="1" applyAlignment="1">
      <alignment horizontal="center" vertical="center"/>
    </xf>
    <xf numFmtId="0" fontId="75" fillId="0" borderId="186" xfId="5" applyFont="1" applyBorder="1" applyAlignment="1">
      <alignment horizontal="center" vertical="center"/>
    </xf>
    <xf numFmtId="0" fontId="75" fillId="0" borderId="22" xfId="5" applyFont="1" applyBorder="1" applyAlignment="1">
      <alignment horizontal="center" vertical="center"/>
    </xf>
    <xf numFmtId="0" fontId="75" fillId="0" borderId="29" xfId="5" applyFont="1" applyBorder="1" applyAlignment="1">
      <alignment horizontal="center" vertical="center"/>
    </xf>
    <xf numFmtId="0" fontId="75" fillId="0" borderId="23" xfId="5" applyFont="1" applyBorder="1" applyAlignment="1">
      <alignment horizontal="center" vertical="center"/>
    </xf>
    <xf numFmtId="0" fontId="75" fillId="0" borderId="191" xfId="0" applyFont="1" applyBorder="1" applyAlignment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75" fillId="0" borderId="12" xfId="0" applyFont="1" applyBorder="1" applyAlignment="1">
      <alignment horizontal="center" vertical="center" wrapText="1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4" xfId="0" applyNumberFormat="1" applyFont="1" applyFill="1" applyBorder="1" applyAlignment="1">
      <alignment horizontal="center" vertical="center"/>
    </xf>
    <xf numFmtId="164" fontId="53" fillId="15" borderId="198" xfId="0" applyNumberFormat="1" applyFont="1" applyFill="1" applyBorder="1" applyAlignment="1" applyProtection="1">
      <alignment horizontal="center" vertical="center"/>
      <protection hidden="1"/>
    </xf>
    <xf numFmtId="164" fontId="53" fillId="15" borderId="199" xfId="0" applyNumberFormat="1" applyFont="1" applyFill="1" applyBorder="1" applyAlignment="1" applyProtection="1">
      <alignment horizontal="center" vertical="center"/>
      <protection hidden="1"/>
    </xf>
    <xf numFmtId="0" fontId="51" fillId="16" borderId="187" xfId="9" applyFont="1" applyFill="1" applyBorder="1" applyAlignment="1">
      <alignment horizontal="center" vertical="center" wrapText="1"/>
    </xf>
    <xf numFmtId="0" fontId="51" fillId="16" borderId="188" xfId="9" applyFont="1" applyFill="1" applyBorder="1" applyAlignment="1">
      <alignment horizontal="center" vertical="center" wrapText="1"/>
    </xf>
    <xf numFmtId="0" fontId="51" fillId="16" borderId="189" xfId="9" applyFont="1" applyFill="1" applyBorder="1" applyAlignment="1">
      <alignment horizontal="center" vertical="center" wrapText="1"/>
    </xf>
    <xf numFmtId="0" fontId="149" fillId="15" borderId="187" xfId="10" applyFont="1" applyFill="1" applyBorder="1" applyAlignment="1">
      <alignment horizontal="center" vertical="center" wrapText="1"/>
    </xf>
    <xf numFmtId="0" fontId="149" fillId="15" borderId="188" xfId="10" applyFont="1" applyFill="1" applyBorder="1" applyAlignment="1">
      <alignment horizontal="center" vertical="center" wrapText="1"/>
    </xf>
    <xf numFmtId="0" fontId="149" fillId="15" borderId="189" xfId="10" applyFont="1" applyFill="1" applyBorder="1" applyAlignment="1">
      <alignment horizontal="center" vertical="center" wrapText="1"/>
    </xf>
    <xf numFmtId="0" fontId="149" fillId="15" borderId="24" xfId="10" applyFont="1" applyFill="1" applyBorder="1" applyAlignment="1">
      <alignment horizontal="center" vertical="center" wrapText="1"/>
    </xf>
    <xf numFmtId="0" fontId="149" fillId="15" borderId="0" xfId="10" applyFont="1" applyFill="1" applyAlignment="1">
      <alignment horizontal="center" vertical="center" wrapText="1"/>
    </xf>
    <xf numFmtId="0" fontId="149" fillId="15" borderId="25" xfId="10" applyFont="1" applyFill="1" applyBorder="1" applyAlignment="1">
      <alignment horizontal="center" vertical="center" wrapText="1"/>
    </xf>
    <xf numFmtId="0" fontId="149" fillId="15" borderId="22" xfId="10" applyFont="1" applyFill="1" applyBorder="1" applyAlignment="1">
      <alignment horizontal="center" vertical="center" wrapText="1"/>
    </xf>
    <xf numFmtId="0" fontId="149" fillId="15" borderId="29" xfId="10" applyFont="1" applyFill="1" applyBorder="1" applyAlignment="1">
      <alignment horizontal="center" vertical="center" wrapText="1"/>
    </xf>
    <xf numFmtId="0" fontId="149" fillId="15" borderId="23" xfId="10" applyFont="1" applyFill="1" applyBorder="1" applyAlignment="1">
      <alignment horizontal="center" vertical="center" wrapText="1"/>
    </xf>
    <xf numFmtId="0" fontId="138" fillId="15" borderId="191" xfId="10" applyFont="1" applyFill="1" applyBorder="1" applyAlignment="1">
      <alignment horizontal="center" vertical="center"/>
    </xf>
    <xf numFmtId="0" fontId="138" fillId="15" borderId="13" xfId="10" applyFont="1" applyFill="1" applyBorder="1" applyAlignment="1">
      <alignment horizontal="center" vertical="center"/>
    </xf>
    <xf numFmtId="0" fontId="138" fillId="15" borderId="11" xfId="10" applyFont="1" applyFill="1" applyBorder="1" applyAlignment="1">
      <alignment horizontal="center" vertical="center"/>
    </xf>
    <xf numFmtId="0" fontId="136" fillId="0" borderId="20" xfId="0" applyFont="1" applyBorder="1" applyAlignment="1">
      <alignment horizontal="center" vertical="center"/>
    </xf>
    <xf numFmtId="0" fontId="136" fillId="0" borderId="186" xfId="0" applyFont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180" fontId="136" fillId="0" borderId="20" xfId="0" applyNumberFormat="1" applyFont="1" applyBorder="1" applyAlignment="1">
      <alignment horizontal="center" vertical="center"/>
    </xf>
    <xf numFmtId="180" fontId="136" fillId="0" borderId="186" xfId="0" applyNumberFormat="1" applyFont="1" applyBorder="1" applyAlignment="1">
      <alignment horizontal="center" vertical="center"/>
    </xf>
    <xf numFmtId="180" fontId="2" fillId="15" borderId="20" xfId="5" applyNumberFormat="1" applyFill="1" applyBorder="1" applyAlignment="1">
      <alignment horizontal="center" vertical="center"/>
    </xf>
    <xf numFmtId="180" fontId="2" fillId="15" borderId="186" xfId="5" applyNumberFormat="1" applyFill="1" applyBorder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0" fontId="2" fillId="15" borderId="20" xfId="5" applyFill="1" applyBorder="1" applyAlignment="1">
      <alignment horizontal="center"/>
    </xf>
    <xf numFmtId="0" fontId="2" fillId="15" borderId="190" xfId="5" applyFill="1" applyBorder="1" applyAlignment="1">
      <alignment horizontal="center"/>
    </xf>
    <xf numFmtId="0" fontId="2" fillId="15" borderId="186" xfId="5" applyFill="1" applyBorder="1" applyAlignment="1">
      <alignment horizontal="center"/>
    </xf>
    <xf numFmtId="0" fontId="97" fillId="15" borderId="0" xfId="0" applyFont="1" applyFill="1" applyAlignment="1">
      <alignment horizontal="center"/>
    </xf>
    <xf numFmtId="176" fontId="2" fillId="15" borderId="12" xfId="0" applyNumberFormat="1" applyFont="1" applyFill="1" applyBorder="1" applyAlignment="1">
      <alignment horizontal="center" vertical="center"/>
    </xf>
    <xf numFmtId="2" fontId="53" fillId="0" borderId="12" xfId="0" applyNumberFormat="1" applyFont="1" applyBorder="1" applyAlignment="1">
      <alignment horizontal="center" vertical="center"/>
    </xf>
    <xf numFmtId="165" fontId="53" fillId="0" borderId="12" xfId="0" applyNumberFormat="1" applyFont="1" applyBorder="1" applyAlignment="1">
      <alignment horizontal="center" vertical="center"/>
    </xf>
    <xf numFmtId="176" fontId="53" fillId="0" borderId="12" xfId="0" applyNumberFormat="1" applyFont="1" applyBorder="1" applyAlignment="1">
      <alignment horizontal="center" vertical="center"/>
    </xf>
    <xf numFmtId="168" fontId="53" fillId="0" borderId="12" xfId="0" applyNumberFormat="1" applyFont="1" applyBorder="1" applyAlignment="1">
      <alignment horizontal="center" vertical="center"/>
    </xf>
    <xf numFmtId="178" fontId="53" fillId="0" borderId="12" xfId="0" applyNumberFormat="1" applyFont="1" applyBorder="1" applyAlignment="1">
      <alignment horizontal="center" vertical="center"/>
    </xf>
    <xf numFmtId="179" fontId="53" fillId="0" borderId="12" xfId="0" applyNumberFormat="1" applyFont="1" applyBorder="1" applyAlignment="1">
      <alignment horizontal="center" vertical="center"/>
    </xf>
    <xf numFmtId="0" fontId="0" fillId="0" borderId="91" xfId="0" applyBorder="1" applyAlignment="1">
      <alignment horizontal="center"/>
    </xf>
    <xf numFmtId="0" fontId="0" fillId="0" borderId="122" xfId="0" applyBorder="1" applyAlignment="1">
      <alignment horizontal="center"/>
    </xf>
    <xf numFmtId="0" fontId="91" fillId="0" borderId="0" xfId="0" applyFont="1" applyAlignment="1" applyProtection="1">
      <alignment horizontal="center"/>
      <protection hidden="1"/>
    </xf>
    <xf numFmtId="0" fontId="16" fillId="12" borderId="33" xfId="0" applyFont="1" applyFill="1" applyBorder="1" applyAlignment="1" applyProtection="1">
      <alignment horizontal="center"/>
      <protection hidden="1"/>
    </xf>
    <xf numFmtId="0" fontId="16" fillId="12" borderId="38" xfId="0" applyFont="1" applyFill="1" applyBorder="1" applyAlignment="1" applyProtection="1">
      <alignment horizontal="center"/>
      <protection hidden="1"/>
    </xf>
    <xf numFmtId="0" fontId="16" fillId="12" borderId="39" xfId="0" applyFont="1" applyFill="1" applyBorder="1" applyAlignment="1" applyProtection="1">
      <alignment horizontal="center"/>
      <protection hidden="1"/>
    </xf>
    <xf numFmtId="0" fontId="0" fillId="0" borderId="20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07" xfId="0" applyBorder="1" applyAlignment="1">
      <alignment horizontal="center"/>
    </xf>
    <xf numFmtId="0" fontId="0" fillId="0" borderId="90" xfId="0" applyBorder="1" applyAlignment="1">
      <alignment horizontal="center"/>
    </xf>
    <xf numFmtId="2" fontId="2" fillId="0" borderId="36" xfId="0" applyNumberFormat="1" applyFont="1" applyBorder="1" applyAlignment="1" applyProtection="1">
      <alignment horizontal="center"/>
      <protection hidden="1"/>
    </xf>
    <xf numFmtId="2" fontId="2" fillId="0" borderId="37" xfId="0" applyNumberFormat="1" applyFont="1" applyBorder="1" applyAlignment="1" applyProtection="1">
      <alignment horizontal="center"/>
      <protection hidden="1"/>
    </xf>
    <xf numFmtId="2" fontId="2" fillId="0" borderId="41" xfId="0" applyNumberFormat="1" applyFont="1" applyBorder="1" applyAlignment="1" applyProtection="1">
      <alignment horizontal="center"/>
      <protection hidden="1"/>
    </xf>
    <xf numFmtId="169" fontId="36" fillId="12" borderId="0" xfId="0" applyNumberFormat="1" applyFont="1" applyFill="1" applyAlignment="1" applyProtection="1">
      <alignment horizontal="left" vertical="center"/>
      <protection locked="0"/>
    </xf>
    <xf numFmtId="0" fontId="34" fillId="0" borderId="34" xfId="0" applyFont="1" applyBorder="1" applyAlignment="1" applyProtection="1">
      <alignment horizontal="center"/>
      <protection hidden="1"/>
    </xf>
    <xf numFmtId="0" fontId="34" fillId="0" borderId="0" xfId="0" applyFont="1" applyAlignment="1" applyProtection="1">
      <alignment horizontal="center"/>
      <protection hidden="1"/>
    </xf>
    <xf numFmtId="0" fontId="34" fillId="0" borderId="40" xfId="0" applyFont="1" applyBorder="1" applyAlignment="1" applyProtection="1">
      <alignment horizontal="center"/>
      <protection hidden="1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3" fillId="4" borderId="208" xfId="0" applyFont="1" applyFill="1" applyBorder="1" applyAlignment="1">
      <alignment horizontal="center" vertical="center"/>
    </xf>
    <xf numFmtId="0" fontId="7" fillId="4" borderId="20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textRotation="90" wrapText="1"/>
    </xf>
    <xf numFmtId="0" fontId="26" fillId="3" borderId="22" xfId="0" applyFont="1" applyFill="1" applyBorder="1" applyAlignment="1">
      <alignment horizontal="center" vertical="center" wrapText="1"/>
    </xf>
    <xf numFmtId="0" fontId="26" fillId="3" borderId="125" xfId="0" applyFont="1" applyFill="1" applyBorder="1" applyAlignment="1">
      <alignment horizontal="center" vertical="center" wrapText="1"/>
    </xf>
    <xf numFmtId="0" fontId="10" fillId="5" borderId="126" xfId="0" applyFont="1" applyFill="1" applyBorder="1" applyAlignment="1">
      <alignment horizontal="center" vertical="center" textRotation="90" wrapText="1"/>
    </xf>
    <xf numFmtId="0" fontId="10" fillId="5" borderId="127" xfId="0" applyFont="1" applyFill="1" applyBorder="1" applyAlignment="1">
      <alignment horizontal="center" vertical="center" textRotation="90" wrapText="1"/>
    </xf>
    <xf numFmtId="0" fontId="12" fillId="11" borderId="210" xfId="0" applyFont="1" applyFill="1" applyBorder="1" applyAlignment="1">
      <alignment horizontal="center" vertical="center" textRotation="90" wrapText="1"/>
    </xf>
    <xf numFmtId="0" fontId="12" fillId="11" borderId="126" xfId="0" applyFont="1" applyFill="1" applyBorder="1" applyAlignment="1">
      <alignment horizontal="center" vertical="center" textRotation="90" wrapText="1"/>
    </xf>
    <xf numFmtId="0" fontId="12" fillId="11" borderId="128" xfId="0" applyFont="1" applyFill="1" applyBorder="1" applyAlignment="1">
      <alignment horizontal="center" vertical="center" textRotation="90" wrapText="1"/>
    </xf>
    <xf numFmtId="0" fontId="28" fillId="11" borderId="187" xfId="0" applyFont="1" applyFill="1" applyBorder="1" applyAlignment="1">
      <alignment horizontal="center" vertical="center" textRotation="90" wrapText="1"/>
    </xf>
    <xf numFmtId="0" fontId="28" fillId="11" borderId="189" xfId="0" applyFont="1" applyFill="1" applyBorder="1" applyAlignment="1">
      <alignment horizontal="center" vertical="center" textRotation="90" wrapText="1"/>
    </xf>
    <xf numFmtId="0" fontId="28" fillId="11" borderId="24" xfId="0" applyFont="1" applyFill="1" applyBorder="1" applyAlignment="1">
      <alignment horizontal="center" vertical="center" textRotation="90" wrapText="1"/>
    </xf>
    <xf numFmtId="0" fontId="28" fillId="11" borderId="25" xfId="0" applyFont="1" applyFill="1" applyBorder="1" applyAlignment="1">
      <alignment horizontal="center" vertical="center" textRotation="90" wrapText="1"/>
    </xf>
    <xf numFmtId="0" fontId="28" fillId="11" borderId="22" xfId="0" applyFont="1" applyFill="1" applyBorder="1" applyAlignment="1">
      <alignment horizontal="center" vertical="center" textRotation="90" wrapText="1"/>
    </xf>
    <xf numFmtId="0" fontId="28" fillId="11" borderId="23" xfId="0" applyFont="1" applyFill="1" applyBorder="1" applyAlignment="1">
      <alignment horizontal="center" vertical="center" textRotation="90" wrapText="1"/>
    </xf>
    <xf numFmtId="0" fontId="30" fillId="9" borderId="187" xfId="0" applyFont="1" applyFill="1" applyBorder="1" applyAlignment="1">
      <alignment horizontal="left" vertical="center" wrapText="1"/>
    </xf>
    <xf numFmtId="0" fontId="30" fillId="9" borderId="211" xfId="0" applyFont="1" applyFill="1" applyBorder="1" applyAlignment="1">
      <alignment horizontal="left" vertical="center" wrapText="1"/>
    </xf>
    <xf numFmtId="0" fontId="30" fillId="9" borderId="15" xfId="0" applyFont="1" applyFill="1" applyBorder="1" applyAlignment="1">
      <alignment horizontal="left" vertical="center" wrapText="1"/>
    </xf>
    <xf numFmtId="0" fontId="30" fillId="9" borderId="129" xfId="0" applyFont="1" applyFill="1" applyBorder="1" applyAlignment="1">
      <alignment horizontal="left" vertical="center" wrapText="1"/>
    </xf>
    <xf numFmtId="0" fontId="28" fillId="11" borderId="0" xfId="0" applyFont="1" applyFill="1" applyAlignment="1">
      <alignment horizontal="center" vertical="center" textRotation="90" wrapText="1"/>
    </xf>
    <xf numFmtId="0" fontId="28" fillId="11" borderId="29" xfId="0" applyFont="1" applyFill="1" applyBorder="1" applyAlignment="1">
      <alignment horizontal="center" vertical="center" textRotation="90" wrapText="1"/>
    </xf>
    <xf numFmtId="0" fontId="22" fillId="0" borderId="0" xfId="0" applyFont="1" applyAlignment="1">
      <alignment horizontal="center" wrapText="1"/>
    </xf>
    <xf numFmtId="0" fontId="24" fillId="5" borderId="13" xfId="0" applyFont="1" applyFill="1" applyBorder="1" applyAlignment="1">
      <alignment horizontal="center" vertical="center" textRotation="90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23" xfId="0" applyFont="1" applyFill="1" applyBorder="1" applyAlignment="1">
      <alignment horizontal="center" vertical="center" wrapText="1"/>
    </xf>
    <xf numFmtId="0" fontId="26" fillId="3" borderId="209" xfId="0" applyFont="1" applyFill="1" applyBorder="1" applyAlignment="1">
      <alignment horizontal="left" vertical="center" wrapText="1"/>
    </xf>
    <xf numFmtId="0" fontId="26" fillId="3" borderId="124" xfId="0" applyFont="1" applyFill="1" applyBorder="1" applyAlignment="1">
      <alignment horizontal="left" vertical="center" wrapText="1"/>
    </xf>
    <xf numFmtId="0" fontId="27" fillId="8" borderId="209" xfId="0" applyFont="1" applyFill="1" applyBorder="1" applyAlignment="1">
      <alignment horizontal="left" vertical="center" wrapText="1"/>
    </xf>
    <xf numFmtId="0" fontId="27" fillId="8" borderId="124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23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textRotation="90" wrapText="1"/>
    </xf>
    <xf numFmtId="0" fontId="7" fillId="4" borderId="130" xfId="0" applyFont="1" applyFill="1" applyBorder="1" applyAlignment="1">
      <alignment horizontal="center" vertical="center" wrapText="1"/>
    </xf>
    <xf numFmtId="0" fontId="7" fillId="4" borderId="131" xfId="0" applyFont="1" applyFill="1" applyBorder="1" applyAlignment="1">
      <alignment horizontal="center" vertical="center" wrapText="1"/>
    </xf>
    <xf numFmtId="0" fontId="8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/>
    </xf>
    <xf numFmtId="0" fontId="9" fillId="4" borderId="132" xfId="0" applyFont="1" applyFill="1" applyBorder="1" applyAlignment="1">
      <alignment horizontal="center" vertical="center"/>
    </xf>
    <xf numFmtId="0" fontId="7" fillId="4" borderId="133" xfId="0" applyFont="1" applyFill="1" applyBorder="1" applyAlignment="1">
      <alignment horizontal="center" vertical="center" wrapText="1"/>
    </xf>
    <xf numFmtId="0" fontId="7" fillId="4" borderId="134" xfId="0" applyFont="1" applyFill="1" applyBorder="1" applyAlignment="1">
      <alignment horizontal="center" vertical="center"/>
    </xf>
    <xf numFmtId="0" fontId="7" fillId="4" borderId="212" xfId="0" applyFont="1" applyFill="1" applyBorder="1" applyAlignment="1">
      <alignment horizontal="center" vertical="center"/>
    </xf>
    <xf numFmtId="0" fontId="7" fillId="4" borderId="135" xfId="0" applyFont="1" applyFill="1" applyBorder="1" applyAlignment="1">
      <alignment horizontal="center" vertical="center"/>
    </xf>
    <xf numFmtId="0" fontId="10" fillId="4" borderId="136" xfId="0" applyFont="1" applyFill="1" applyBorder="1" applyAlignment="1">
      <alignment horizontal="center" vertical="center"/>
    </xf>
    <xf numFmtId="0" fontId="10" fillId="4" borderId="137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/>
    </xf>
    <xf numFmtId="0" fontId="16" fillId="12" borderId="21" xfId="0" applyFont="1" applyFill="1" applyBorder="1" applyAlignment="1">
      <alignment horizontal="center"/>
    </xf>
    <xf numFmtId="0" fontId="11" fillId="4" borderId="136" xfId="0" applyFont="1" applyFill="1" applyBorder="1" applyAlignment="1">
      <alignment horizontal="center" vertical="center"/>
    </xf>
    <xf numFmtId="0" fontId="11" fillId="4" borderId="141" xfId="0" applyFont="1" applyFill="1" applyBorder="1" applyAlignment="1">
      <alignment horizontal="center" vertical="center"/>
    </xf>
    <xf numFmtId="0" fontId="10" fillId="2" borderId="217" xfId="0" applyFont="1" applyFill="1" applyBorder="1" applyAlignment="1">
      <alignment horizontal="center" vertical="center"/>
    </xf>
    <xf numFmtId="0" fontId="10" fillId="2" borderId="218" xfId="0" applyFont="1" applyFill="1" applyBorder="1" applyAlignment="1">
      <alignment horizontal="center" vertical="center"/>
    </xf>
    <xf numFmtId="0" fontId="10" fillId="2" borderId="219" xfId="0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0" fillId="4" borderId="133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11" fillId="4" borderId="13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4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33" xfId="0" applyFont="1" applyFill="1" applyBorder="1" applyAlignment="1">
      <alignment horizontal="center" vertical="center"/>
    </xf>
    <xf numFmtId="0" fontId="11" fillId="4" borderId="2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70" fillId="12" borderId="33" xfId="0" applyFont="1" applyFill="1" applyBorder="1" applyAlignment="1">
      <alignment horizontal="center" vertical="center"/>
    </xf>
    <xf numFmtId="0" fontId="70" fillId="12" borderId="38" xfId="0" applyFont="1" applyFill="1" applyBorder="1" applyAlignment="1">
      <alignment horizontal="center" vertical="center"/>
    </xf>
    <xf numFmtId="0" fontId="70" fillId="12" borderId="39" xfId="0" applyFont="1" applyFill="1" applyBorder="1" applyAlignment="1">
      <alignment horizontal="center" vertical="center"/>
    </xf>
    <xf numFmtId="0" fontId="70" fillId="12" borderId="34" xfId="0" applyFont="1" applyFill="1" applyBorder="1" applyAlignment="1">
      <alignment horizontal="center" vertical="center"/>
    </xf>
    <xf numFmtId="0" fontId="70" fillId="12" borderId="0" xfId="0" applyFont="1" applyFill="1" applyAlignment="1">
      <alignment horizontal="center" vertical="center"/>
    </xf>
    <xf numFmtId="0" fontId="70" fillId="12" borderId="40" xfId="0" applyFont="1" applyFill="1" applyBorder="1" applyAlignment="1">
      <alignment horizontal="center" vertical="center"/>
    </xf>
    <xf numFmtId="0" fontId="70" fillId="12" borderId="36" xfId="0" applyFont="1" applyFill="1" applyBorder="1" applyAlignment="1">
      <alignment horizontal="center" vertical="center"/>
    </xf>
    <xf numFmtId="0" fontId="70" fillId="12" borderId="37" xfId="0" applyFont="1" applyFill="1" applyBorder="1" applyAlignment="1">
      <alignment horizontal="center" vertical="center"/>
    </xf>
    <xf numFmtId="0" fontId="70" fillId="12" borderId="41" xfId="0" applyFont="1" applyFill="1" applyBorder="1" applyAlignment="1">
      <alignment horizontal="center" vertical="center"/>
    </xf>
    <xf numFmtId="0" fontId="56" fillId="12" borderId="12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66" fillId="12" borderId="12" xfId="0" applyFont="1" applyFill="1" applyBorder="1" applyAlignment="1">
      <alignment horizontal="center" vertical="center" wrapText="1"/>
    </xf>
    <xf numFmtId="0" fontId="67" fillId="12" borderId="12" xfId="0" applyFont="1" applyFill="1" applyBorder="1" applyAlignment="1">
      <alignment horizontal="center" vertical="center" wrapText="1"/>
    </xf>
    <xf numFmtId="0" fontId="44" fillId="12" borderId="0" xfId="0" applyFont="1" applyFill="1" applyAlignment="1">
      <alignment horizontal="center"/>
    </xf>
    <xf numFmtId="14" fontId="56" fillId="12" borderId="0" xfId="0" applyNumberFormat="1" applyFont="1" applyFill="1" applyAlignment="1">
      <alignment horizontal="left" vertical="center"/>
    </xf>
    <xf numFmtId="0" fontId="61" fillId="12" borderId="0" xfId="0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14" fontId="56" fillId="12" borderId="31" xfId="0" applyNumberFormat="1" applyFont="1" applyFill="1" applyBorder="1" applyAlignment="1">
      <alignment horizontal="left" vertical="center"/>
    </xf>
    <xf numFmtId="0" fontId="64" fillId="0" borderId="188" xfId="0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187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64" fillId="0" borderId="189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70" fillId="12" borderId="142" xfId="0" applyFont="1" applyFill="1" applyBorder="1" applyAlignment="1">
      <alignment horizontal="center" vertical="center"/>
    </xf>
    <xf numFmtId="0" fontId="70" fillId="12" borderId="143" xfId="0" applyFont="1" applyFill="1" applyBorder="1" applyAlignment="1">
      <alignment horizontal="center" vertical="center"/>
    </xf>
    <xf numFmtId="0" fontId="70" fillId="12" borderId="144" xfId="0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10" fontId="2" fillId="12" borderId="44" xfId="4" applyNumberForma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67" fontId="52" fillId="12" borderId="20" xfId="4" applyNumberFormat="1" applyFont="1" applyFill="1" applyBorder="1" applyAlignment="1">
      <alignment horizontal="center" vertical="center"/>
    </xf>
    <xf numFmtId="167" fontId="52" fillId="12" borderId="190" xfId="4" applyNumberFormat="1" applyFont="1" applyFill="1" applyBorder="1" applyAlignment="1">
      <alignment horizontal="center" vertical="center"/>
    </xf>
    <xf numFmtId="167" fontId="52" fillId="12" borderId="21" xfId="4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4" fillId="12" borderId="29" xfId="0" applyFont="1" applyFill="1" applyBorder="1" applyAlignment="1">
      <alignment horizontal="center" vertical="center"/>
    </xf>
    <xf numFmtId="0" fontId="2" fillId="12" borderId="188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67" fontId="21" fillId="12" borderId="188" xfId="4" applyNumberFormat="1" applyFont="1" applyFill="1" applyBorder="1" applyAlignment="1">
      <alignment horizontal="center" vertical="center"/>
    </xf>
    <xf numFmtId="167" fontId="21" fillId="12" borderId="0" xfId="4" applyNumberFormat="1" applyFont="1" applyFill="1" applyBorder="1" applyAlignment="1">
      <alignment horizontal="center" vertical="center"/>
    </xf>
    <xf numFmtId="0" fontId="21" fillId="12" borderId="21" xfId="2" applyFont="1" applyFill="1" applyBorder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2" fillId="12" borderId="187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</cellXfs>
  <cellStyles count="11">
    <cellStyle name="Hipervínculo" xfId="6" builtinId="8"/>
    <cellStyle name="Normal" xfId="0" builtinId="0"/>
    <cellStyle name="Normal 2" xfId="5" xr:uid="{00000000-0005-0000-0000-000002000000}"/>
    <cellStyle name="Normal 2 2" xfId="8" xr:uid="{00000000-0005-0000-0000-000003000000}"/>
    <cellStyle name="Normal 6" xfId="10" xr:uid="{00000000-0005-0000-0000-000004000000}"/>
    <cellStyle name="Normal_01" xfId="1" xr:uid="{00000000-0005-0000-0000-000005000000}"/>
    <cellStyle name="Normal_ENSAYOS" xfId="2" xr:uid="{00000000-0005-0000-0000-000006000000}"/>
    <cellStyle name="Normal_Produc. 07-09-99" xfId="3" xr:uid="{00000000-0005-0000-0000-000007000000}"/>
    <cellStyle name="Normal_Produc. 07-09-99 2" xfId="9" xr:uid="{00000000-0005-0000-0000-000008000000}"/>
    <cellStyle name="Porcentaje" xfId="4" builtinId="5"/>
    <cellStyle name="Porcentual 2" xfId="7" xr:uid="{00000000-0005-0000-0000-00000A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GRANULOMETRICA</a:t>
            </a:r>
          </a:p>
        </c:rich>
      </c:tx>
      <c:layout>
        <c:manualLayout>
          <c:xMode val="edge"/>
          <c:yMode val="edge"/>
          <c:x val="0.38095299182990194"/>
          <c:y val="3.35366352905798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686"/>
          <c:h val="0.61585457533610777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9-4218-8FE3-358EDEA6198A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9-4218-8FE3-358EDEA6198A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s-PE"/>
                      <a:t>3"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E69-4218-8FE3-358EDEA619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s-PE"/>
                      <a:t>21/2"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E69-4218-8FE3-358EDEA619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s-PE"/>
                      <a:t>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E69-4218-8FE3-358EDEA619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s-PE"/>
                      <a:t>11/2"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E69-4218-8FE3-358EDEA619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s-PE"/>
                      <a:t>1"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E69-4218-8FE3-358EDEA619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s-PE"/>
                      <a:t>3/4"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E69-4218-8FE3-358EDEA619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s-PE"/>
                      <a:t>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E69-4218-8FE3-358EDEA619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s-PE"/>
                      <a:t>3/8"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E69-4218-8FE3-358EDEA619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s-PE"/>
                      <a:t>1/4"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E69-4218-8FE3-358EDEA619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s-PE"/>
                      <a:t>Nº4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E69-4218-8FE3-358EDEA619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s-PE"/>
                      <a:t>8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E69-4218-8FE3-358EDEA619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s-PE"/>
                      <a:t>10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E69-4218-8FE3-358EDEA619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s-PE"/>
                      <a:t>16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E69-4218-8FE3-358EDEA619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s-PE"/>
                      <a:t>20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E69-4218-8FE3-358EDEA619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s-PE"/>
                      <a:t>30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E69-4218-8FE3-358EDEA619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s-PE"/>
                      <a:t>40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E69-4218-8FE3-358EDEA619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s-PE"/>
                      <a:t>50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E69-4218-8FE3-358EDEA619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s-PE"/>
                      <a:t>60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E69-4218-8FE3-358EDEA619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s-PE"/>
                      <a:t>80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E69-4218-8FE3-358EDEA619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s-PE"/>
                      <a:t>100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E69-4218-8FE3-358EDEA619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s-PE"/>
                      <a:t>200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E69-4218-8FE3-358EDEA619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E69-4218-8FE3-358EDEA6198A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Gran!$R$52:$R$54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Gran!$S$52:$S$54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E69-4218-8FE3-358EDEA6198A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Gran!$R$57:$R$59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Gran!$S$57:$S$59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69-4218-8FE3-358EDEA6198A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Gran!$R$62:$R$64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Gran!$S$62:$S$64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E69-4218-8FE3-358EDEA6198A}"/>
            </c:ext>
          </c:extLst>
        </c:ser>
        <c:ser>
          <c:idx val="7"/>
          <c:order val="6"/>
          <c:tx>
            <c:v>MIN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(Gran!$K$26,Gran!$J$27,Gran!$J$29,Gran!$J$31,Gran!$J$33)</c:f>
              <c:numCache>
                <c:formatCode>0</c:formatCode>
                <c:ptCount val="5"/>
                <c:pt idx="0">
                  <c:v>100</c:v>
                </c:pt>
                <c:pt idx="1">
                  <c:v>95</c:v>
                </c:pt>
                <c:pt idx="2">
                  <c:v>35</c:v>
                </c:pt>
                <c:pt idx="3">
                  <c:v>10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E69-4218-8FE3-358EDEA6198A}"/>
            </c:ext>
          </c:extLst>
        </c:ser>
        <c:ser>
          <c:idx val="8"/>
          <c:order val="7"/>
          <c:tx>
            <c:v>MAX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(Gran!$E$27,Gran!$E$29,Gran!$E$31,Gran!$E$33)</c:f>
              <c:numCache>
                <c:formatCode>0.000</c:formatCode>
                <c:ptCount val="4"/>
                <c:pt idx="0">
                  <c:v>38.1</c:v>
                </c:pt>
                <c:pt idx="1">
                  <c:v>19.05</c:v>
                </c:pt>
                <c:pt idx="2">
                  <c:v>9.5250000000000004</c:v>
                </c:pt>
                <c:pt idx="3">
                  <c:v>4.76</c:v>
                </c:pt>
              </c:numCache>
            </c:numRef>
          </c:xVal>
          <c:yVal>
            <c:numRef>
              <c:f>(Gran!$L$27,Gran!$L$29,Gran!$L$31,Gran!$L$33)</c:f>
              <c:numCache>
                <c:formatCode>0</c:formatCode>
                <c:ptCount val="4"/>
                <c:pt idx="0">
                  <c:v>100</c:v>
                </c:pt>
                <c:pt idx="1">
                  <c:v>70</c:v>
                </c:pt>
                <c:pt idx="2">
                  <c:v>30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E69-4218-8FE3-358EDEA6198A}"/>
            </c:ext>
          </c:extLst>
        </c:ser>
        <c:ser>
          <c:idx val="3"/>
          <c:order val="8"/>
          <c:tx>
            <c:v>CURVA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(Gran!$I$26,Gran!$I$27,Gran!$I$29,Gran!$I$31,Gran!$I$33)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41.9</c:v>
                </c:pt>
                <c:pt idx="3">
                  <c:v>23.8</c:v>
                </c:pt>
                <c:pt idx="4">
                  <c:v>4.5353829976340165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E69-4218-8FE3-358EDEA6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37824"/>
        <c:axId val="139840128"/>
      </c:scatterChart>
      <c:valAx>
        <c:axId val="13983782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37940877387"/>
              <c:y val="0.8902452277135818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9840128"/>
        <c:crosses val="autoZero"/>
        <c:crossBetween val="midCat"/>
      </c:valAx>
      <c:valAx>
        <c:axId val="139840128"/>
        <c:scaling>
          <c:orientation val="minMax"/>
          <c:max val="100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470274125"/>
              <c:y val="0.36585420316996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9837824"/>
        <c:crossesAt val="1.000000000000004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466" r="0.7500000000000046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4902520236806378"/>
          <c:y val="0.22326542571397809"/>
          <c:w val="0.52623266084675713"/>
          <c:h val="0.60631507114203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Incertidumbre!$B$49:$B$51</c:f>
              <c:strCache>
                <c:ptCount val="3"/>
                <c:pt idx="0">
                  <c:v>Masa seca</c:v>
                </c:pt>
                <c:pt idx="1">
                  <c:v>Masa  lavado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Incertidumbre!$D$49:$D$51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2-4234-BB56-723EF429D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00608"/>
        <c:axId val="232102144"/>
      </c:barChart>
      <c:catAx>
        <c:axId val="2321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2102144"/>
        <c:crosses val="autoZero"/>
        <c:auto val="1"/>
        <c:lblAlgn val="ctr"/>
        <c:lblOffset val="100"/>
        <c:noMultiLvlLbl val="0"/>
      </c:catAx>
      <c:valAx>
        <c:axId val="2321021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23210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76200</xdr:rowOff>
    </xdr:from>
    <xdr:to>
      <xdr:col>16</xdr:col>
      <xdr:colOff>0</xdr:colOff>
      <xdr:row>70</xdr:row>
      <xdr:rowOff>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247650</xdr:colOff>
      <xdr:row>0</xdr:row>
      <xdr:rowOff>104775</xdr:rowOff>
    </xdr:from>
    <xdr:to>
      <xdr:col>12</xdr:col>
      <xdr:colOff>381000</xdr:colOff>
      <xdr:row>5</xdr:row>
      <xdr:rowOff>76200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0477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937510" cy="0"/>
          <a:chOff x="3" y="19"/>
          <a:chExt cx="324" cy="3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04583337812" y="0"/>
            <a:ext cx="176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strike="noStrike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strike="noStrike">
                <a:solidFill>
                  <a:srgbClr val="000000"/>
                </a:solidFill>
                <a:latin typeface="Arial Black"/>
              </a:rPr>
              <a:t> -</a:t>
            </a:r>
          </a:p>
        </xdr:txBody>
      </xdr:sp>
    </xdr:grpSp>
    <xdr:clientData/>
  </xdr:twoCellAnchor>
  <xdr:twoCellAnchor editAs="oneCell">
    <xdr:from>
      <xdr:col>0</xdr:col>
      <xdr:colOff>19050</xdr:colOff>
      <xdr:row>51</xdr:row>
      <xdr:rowOff>161925</xdr:rowOff>
    </xdr:from>
    <xdr:to>
      <xdr:col>8</xdr:col>
      <xdr:colOff>885825</xdr:colOff>
      <xdr:row>51</xdr:row>
      <xdr:rowOff>220253</xdr:rowOff>
    </xdr:to>
    <xdr:pic>
      <xdr:nvPicPr>
        <xdr:cNvPr id="5" name="3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0658475"/>
          <a:ext cx="6600825" cy="5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0</xdr:row>
      <xdr:rowOff>114300</xdr:rowOff>
    </xdr:from>
    <xdr:to>
      <xdr:col>6</xdr:col>
      <xdr:colOff>638175</xdr:colOff>
      <xdr:row>5</xdr:row>
      <xdr:rowOff>85725</xdr:rowOff>
    </xdr:to>
    <xdr:pic>
      <xdr:nvPicPr>
        <xdr:cNvPr id="6" name="2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1430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66675</xdr:rowOff>
    </xdr:from>
    <xdr:to>
      <xdr:col>9</xdr:col>
      <xdr:colOff>876300</xdr:colOff>
      <xdr:row>57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6075"/>
          <a:ext cx="64674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95250</xdr:rowOff>
    </xdr:from>
    <xdr:to>
      <xdr:col>6</xdr:col>
      <xdr:colOff>342900</xdr:colOff>
      <xdr:row>5</xdr:row>
      <xdr:rowOff>66675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525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0</xdr:row>
      <xdr:rowOff>123825</xdr:rowOff>
    </xdr:from>
    <xdr:ext cx="3829050" cy="97155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2382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66675</xdr:rowOff>
    </xdr:from>
    <xdr:ext cx="6553200" cy="57908"/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6553200" cy="57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600075</xdr:colOff>
      <xdr:row>22</xdr:row>
      <xdr:rowOff>0</xdr:rowOff>
    </xdr:from>
    <xdr:ext cx="18531" cy="170560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038600" y="3286125"/>
          <a:ext cx="18531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PE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0</xdr:col>
      <xdr:colOff>123825</xdr:colOff>
      <xdr:row>55</xdr:row>
      <xdr:rowOff>123825</xdr:rowOff>
    </xdr:from>
    <xdr:to>
      <xdr:col>7</xdr:col>
      <xdr:colOff>647700</xdr:colOff>
      <xdr:row>57</xdr:row>
      <xdr:rowOff>47625</xdr:rowOff>
    </xdr:to>
    <xdr:grpSp>
      <xdr:nvGrpSpPr>
        <xdr:cNvPr id="3" name="Group 1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>
          <a:grpSpLocks/>
        </xdr:cNvGrpSpPr>
      </xdr:nvGrpSpPr>
      <xdr:grpSpPr bwMode="auto">
        <a:xfrm>
          <a:off x="123825" y="8978265"/>
          <a:ext cx="5682615" cy="259080"/>
          <a:chOff x="0" y="1068"/>
          <a:chExt cx="595" cy="26"/>
        </a:xfrm>
      </xdr:grpSpPr>
      <xdr:sp macro="" textlink="">
        <xdr:nvSpPr>
          <xdr:cNvPr id="4" name="Text Box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5" name="Text Box 18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7" name="Text Box 20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8" name="AutoShape 21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9" name="AutoShape 22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0" name="AutoShape 23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1" name="AutoShape 24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  <xdr:twoCellAnchor editAs="oneCell">
    <xdr:from>
      <xdr:col>0</xdr:col>
      <xdr:colOff>38100</xdr:colOff>
      <xdr:row>0</xdr:row>
      <xdr:rowOff>47625</xdr:rowOff>
    </xdr:from>
    <xdr:to>
      <xdr:col>2</xdr:col>
      <xdr:colOff>590550</xdr:colOff>
      <xdr:row>7</xdr:row>
      <xdr:rowOff>0</xdr:rowOff>
    </xdr:to>
    <xdr:pic>
      <xdr:nvPicPr>
        <xdr:cNvPr id="12" name="11 Imagen" descr="logo cobra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47625"/>
          <a:ext cx="1295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600075</xdr:colOff>
      <xdr:row>1</xdr:row>
      <xdr:rowOff>38100</xdr:rowOff>
    </xdr:from>
    <xdr:to>
      <xdr:col>7</xdr:col>
      <xdr:colOff>314325</xdr:colOff>
      <xdr:row>2</xdr:row>
      <xdr:rowOff>104775</xdr:rowOff>
    </xdr:to>
    <xdr:sp macro="" textlink="">
      <xdr:nvSpPr>
        <xdr:cNvPr id="13" name="1 Títul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Grp="1"/>
        </xdr:cNvSpPr>
      </xdr:nvSpPr>
      <xdr:spPr>
        <a:xfrm>
          <a:off x="1343025" y="171450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66</xdr:row>
      <xdr:rowOff>133350</xdr:rowOff>
    </xdr:from>
    <xdr:to>
      <xdr:col>12</xdr:col>
      <xdr:colOff>257175</xdr:colOff>
      <xdr:row>68</xdr:row>
      <xdr:rowOff>57150</xdr:rowOff>
    </xdr:to>
    <xdr:grpSp>
      <xdr:nvGrpSpPr>
        <xdr:cNvPr id="29698" name="Group 2">
          <a:extLst>
            <a:ext uri="{FF2B5EF4-FFF2-40B4-BE49-F238E27FC236}">
              <a16:creationId xmlns:a16="http://schemas.microsoft.com/office/drawing/2014/main" id="{00000000-0008-0000-0600-000002740000}"/>
            </a:ext>
          </a:extLst>
        </xdr:cNvPr>
        <xdr:cNvGrpSpPr>
          <a:grpSpLocks/>
        </xdr:cNvGrpSpPr>
      </xdr:nvGrpSpPr>
      <xdr:grpSpPr bwMode="auto">
        <a:xfrm>
          <a:off x="575310" y="10412730"/>
          <a:ext cx="5831205" cy="259080"/>
          <a:chOff x="0" y="1068"/>
          <a:chExt cx="595" cy="26"/>
        </a:xfrm>
      </xdr:grpSpPr>
      <xdr:sp macro="" textlink="">
        <xdr:nvSpPr>
          <xdr:cNvPr id="29699" name="Text Box 3">
            <a:extLst>
              <a:ext uri="{FF2B5EF4-FFF2-40B4-BE49-F238E27FC236}">
                <a16:creationId xmlns:a16="http://schemas.microsoft.com/office/drawing/2014/main" id="{00000000-0008-0000-0600-000003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0" name="Text Box 4">
            <a:extLst>
              <a:ext uri="{FF2B5EF4-FFF2-40B4-BE49-F238E27FC236}">
                <a16:creationId xmlns:a16="http://schemas.microsoft.com/office/drawing/2014/main" id="{00000000-0008-0000-0600-000004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29701" name="Text Box 5">
            <a:extLst>
              <a:ext uri="{FF2B5EF4-FFF2-40B4-BE49-F238E27FC236}">
                <a16:creationId xmlns:a16="http://schemas.microsoft.com/office/drawing/2014/main" id="{00000000-0008-0000-0600-000005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2" name="Text Box 6">
            <a:extLst>
              <a:ext uri="{FF2B5EF4-FFF2-40B4-BE49-F238E27FC236}">
                <a16:creationId xmlns:a16="http://schemas.microsoft.com/office/drawing/2014/main" id="{00000000-0008-0000-0600-000006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29703" name="AutoShape 7">
            <a:extLst>
              <a:ext uri="{FF2B5EF4-FFF2-40B4-BE49-F238E27FC236}">
                <a16:creationId xmlns:a16="http://schemas.microsoft.com/office/drawing/2014/main" id="{00000000-0008-0000-0600-000007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4" name="AutoShape 8">
            <a:extLst>
              <a:ext uri="{FF2B5EF4-FFF2-40B4-BE49-F238E27FC236}">
                <a16:creationId xmlns:a16="http://schemas.microsoft.com/office/drawing/2014/main" id="{00000000-0008-0000-0600-000008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5" name="AutoShape 9">
            <a:extLst>
              <a:ext uri="{FF2B5EF4-FFF2-40B4-BE49-F238E27FC236}">
                <a16:creationId xmlns:a16="http://schemas.microsoft.com/office/drawing/2014/main" id="{00000000-0008-0000-0600-000009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6" name="AutoShape 10">
            <a:extLst>
              <a:ext uri="{FF2B5EF4-FFF2-40B4-BE49-F238E27FC236}">
                <a16:creationId xmlns:a16="http://schemas.microsoft.com/office/drawing/2014/main" id="{00000000-0008-0000-0600-00000A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447675</xdr:colOff>
      <xdr:row>0</xdr:row>
      <xdr:rowOff>37393</xdr:rowOff>
    </xdr:from>
    <xdr:to>
      <xdr:col>7</xdr:col>
      <xdr:colOff>323850</xdr:colOff>
      <xdr:row>4</xdr:row>
      <xdr:rowOff>147654</xdr:rowOff>
    </xdr:to>
    <xdr:pic>
      <xdr:nvPicPr>
        <xdr:cNvPr id="9" name="Imagen 7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7393"/>
          <a:ext cx="1533525" cy="910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300990</xdr:colOff>
      <xdr:row>42</xdr:row>
      <xdr:rowOff>171450</xdr:rowOff>
    </xdr:from>
    <xdr:to>
      <xdr:col>8</xdr:col>
      <xdr:colOff>185790</xdr:colOff>
      <xdr:row>47</xdr:row>
      <xdr:rowOff>129093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82290" y="9079230"/>
          <a:ext cx="1401180" cy="1054923"/>
        </a:xfrm>
        <a:prstGeom prst="rect">
          <a:avLst/>
        </a:prstGeom>
      </xdr:spPr>
    </xdr:pic>
    <xdr:clientData/>
  </xdr:twoCellAnchor>
  <xdr:twoCellAnchor>
    <xdr:from>
      <xdr:col>10</xdr:col>
      <xdr:colOff>285414</xdr:colOff>
      <xdr:row>42</xdr:row>
      <xdr:rowOff>178206</xdr:rowOff>
    </xdr:from>
    <xdr:to>
      <xdr:col>13</xdr:col>
      <xdr:colOff>788652</xdr:colOff>
      <xdr:row>47</xdr:row>
      <xdr:rowOff>38506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 bwMode="auto">
        <a:xfrm>
          <a:off x="5743239" y="91888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213360</xdr:colOff>
      <xdr:row>42</xdr:row>
      <xdr:rowOff>144780</xdr:rowOff>
    </xdr:from>
    <xdr:to>
      <xdr:col>10</xdr:col>
      <xdr:colOff>228653</xdr:colOff>
      <xdr:row>47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47260" y="90525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114301</xdr:colOff>
      <xdr:row>46</xdr:row>
      <xdr:rowOff>95250</xdr:rowOff>
    </xdr:from>
    <xdr:to>
      <xdr:col>7</xdr:col>
      <xdr:colOff>857250</xdr:colOff>
      <xdr:row>54</xdr:row>
      <xdr:rowOff>171449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657226</xdr:colOff>
      <xdr:row>11</xdr:row>
      <xdr:rowOff>133351</xdr:rowOff>
    </xdr:from>
    <xdr:to>
      <xdr:col>8</xdr:col>
      <xdr:colOff>523875</xdr:colOff>
      <xdr:row>13</xdr:row>
      <xdr:rowOff>76200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407" t="24745" r="4751" b="16993"/>
        <a:stretch/>
      </xdr:blipFill>
      <xdr:spPr>
        <a:xfrm>
          <a:off x="6324601" y="2628901"/>
          <a:ext cx="1800224" cy="2476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23</xdr:row>
      <xdr:rowOff>66674</xdr:rowOff>
    </xdr:from>
    <xdr:to>
      <xdr:col>3</xdr:col>
      <xdr:colOff>19049</xdr:colOff>
      <xdr:row>29</xdr:row>
      <xdr:rowOff>193399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1479"/>
        <a:stretch/>
      </xdr:blipFill>
      <xdr:spPr>
        <a:xfrm>
          <a:off x="85724" y="4467224"/>
          <a:ext cx="3038475" cy="171740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0</xdr:row>
      <xdr:rowOff>47625</xdr:rowOff>
    </xdr:from>
    <xdr:to>
      <xdr:col>0</xdr:col>
      <xdr:colOff>1209675</xdr:colOff>
      <xdr:row>3</xdr:row>
      <xdr:rowOff>136592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7625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28576</xdr:rowOff>
    </xdr:from>
    <xdr:to>
      <xdr:col>9</xdr:col>
      <xdr:colOff>95250</xdr:colOff>
      <xdr:row>3</xdr:row>
      <xdr:rowOff>131783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8576"/>
          <a:ext cx="6410325" cy="5889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57</xdr:row>
      <xdr:rowOff>66675</xdr:rowOff>
    </xdr:from>
    <xdr:to>
      <xdr:col>8</xdr:col>
      <xdr:colOff>533400</xdr:colOff>
      <xdr:row>58</xdr:row>
      <xdr:rowOff>152400</xdr:rowOff>
    </xdr:to>
    <xdr:grpSp>
      <xdr:nvGrpSpPr>
        <xdr:cNvPr id="31746" name="Group 2">
          <a:extLst>
            <a:ext uri="{FF2B5EF4-FFF2-40B4-BE49-F238E27FC236}">
              <a16:creationId xmlns:a16="http://schemas.microsoft.com/office/drawing/2014/main" id="{00000000-0008-0000-0D00-0000027C0000}"/>
            </a:ext>
          </a:extLst>
        </xdr:cNvPr>
        <xdr:cNvGrpSpPr>
          <a:grpSpLocks/>
        </xdr:cNvGrpSpPr>
      </xdr:nvGrpSpPr>
      <xdr:grpSpPr bwMode="auto">
        <a:xfrm>
          <a:off x="499110" y="9835515"/>
          <a:ext cx="5825490" cy="253365"/>
          <a:chOff x="0" y="1068"/>
          <a:chExt cx="595" cy="26"/>
        </a:xfrm>
      </xdr:grpSpPr>
      <xdr:sp macro="" textlink="">
        <xdr:nvSpPr>
          <xdr:cNvPr id="31747" name="Text Box 3">
            <a:extLst>
              <a:ext uri="{FF2B5EF4-FFF2-40B4-BE49-F238E27FC236}">
                <a16:creationId xmlns:a16="http://schemas.microsoft.com/office/drawing/2014/main" id="{00000000-0008-0000-0D00-000003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48" name="Text Box 4">
            <a:extLst>
              <a:ext uri="{FF2B5EF4-FFF2-40B4-BE49-F238E27FC236}">
                <a16:creationId xmlns:a16="http://schemas.microsoft.com/office/drawing/2014/main" id="{00000000-0008-0000-0D00-000004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31749" name="Text Box 5">
            <a:extLst>
              <a:ext uri="{FF2B5EF4-FFF2-40B4-BE49-F238E27FC236}">
                <a16:creationId xmlns:a16="http://schemas.microsoft.com/office/drawing/2014/main" id="{00000000-0008-0000-0D00-000005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50" name="Text Box 6">
            <a:extLst>
              <a:ext uri="{FF2B5EF4-FFF2-40B4-BE49-F238E27FC236}">
                <a16:creationId xmlns:a16="http://schemas.microsoft.com/office/drawing/2014/main" id="{00000000-0008-0000-0D00-000006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31751" name="AutoShape 7">
            <a:extLst>
              <a:ext uri="{FF2B5EF4-FFF2-40B4-BE49-F238E27FC236}">
                <a16:creationId xmlns:a16="http://schemas.microsoft.com/office/drawing/2014/main" id="{00000000-0008-0000-0D00-000007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2" name="AutoShape 8">
            <a:extLst>
              <a:ext uri="{FF2B5EF4-FFF2-40B4-BE49-F238E27FC236}">
                <a16:creationId xmlns:a16="http://schemas.microsoft.com/office/drawing/2014/main" id="{00000000-0008-0000-0D00-000008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3" name="AutoShape 9">
            <a:extLst>
              <a:ext uri="{FF2B5EF4-FFF2-40B4-BE49-F238E27FC236}">
                <a16:creationId xmlns:a16="http://schemas.microsoft.com/office/drawing/2014/main" id="{00000000-0008-0000-0D00-000009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4" name="AutoShape 10">
            <a:extLst>
              <a:ext uri="{FF2B5EF4-FFF2-40B4-BE49-F238E27FC236}">
                <a16:creationId xmlns:a16="http://schemas.microsoft.com/office/drawing/2014/main" id="{00000000-0008-0000-0D00-00000A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F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0</xdr:row>
          <xdr:rowOff>60960</xdr:rowOff>
        </xdr:from>
        <xdr:to>
          <xdr:col>14</xdr:col>
          <xdr:colOff>502920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16</xdr:row>
      <xdr:rowOff>0</xdr:rowOff>
    </xdr:from>
    <xdr:to>
      <xdr:col>0</xdr:col>
      <xdr:colOff>1143000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12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1097280</xdr:colOff>
          <xdr:row>0</xdr:row>
          <xdr:rowOff>45720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1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19</xdr:row>
      <xdr:rowOff>0</xdr:rowOff>
    </xdr:from>
    <xdr:ext cx="114300" cy="200025"/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00000000-0008-0000-1300-00000620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 editAs="oneCell">
    <xdr:from>
      <xdr:col>0</xdr:col>
      <xdr:colOff>47626</xdr:colOff>
      <xdr:row>0</xdr:row>
      <xdr:rowOff>38100</xdr:rowOff>
    </xdr:from>
    <xdr:to>
      <xdr:col>1</xdr:col>
      <xdr:colOff>352426</xdr:colOff>
      <xdr:row>6</xdr:row>
      <xdr:rowOff>9525</xdr:rowOff>
    </xdr:to>
    <xdr:pic>
      <xdr:nvPicPr>
        <xdr:cNvPr id="8" name="7 Imagen" descr="logo cobra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38100"/>
          <a:ext cx="10668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581025</xdr:colOff>
      <xdr:row>1</xdr:row>
      <xdr:rowOff>9525</xdr:rowOff>
    </xdr:from>
    <xdr:to>
      <xdr:col>7</xdr:col>
      <xdr:colOff>838200</xdr:colOff>
      <xdr:row>2</xdr:row>
      <xdr:rowOff>76200</xdr:rowOff>
    </xdr:to>
    <xdr:sp macro="" textlink="">
      <xdr:nvSpPr>
        <xdr:cNvPr id="9" name="1 Título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Grp="1"/>
        </xdr:cNvSpPr>
      </xdr:nvSpPr>
      <xdr:spPr>
        <a:xfrm>
          <a:off x="1343025" y="142875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  <xdr:twoCellAnchor>
    <xdr:from>
      <xdr:col>0</xdr:col>
      <xdr:colOff>142876</xdr:colOff>
      <xdr:row>51</xdr:row>
      <xdr:rowOff>0</xdr:rowOff>
    </xdr:from>
    <xdr:to>
      <xdr:col>7</xdr:col>
      <xdr:colOff>1095376</xdr:colOff>
      <xdr:row>52</xdr:row>
      <xdr:rowOff>85725</xdr:rowOff>
    </xdr:to>
    <xdr:grpSp>
      <xdr:nvGrpSpPr>
        <xdr:cNvPr id="10" name="Group 31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pSpPr>
          <a:grpSpLocks/>
        </xdr:cNvGrpSpPr>
      </xdr:nvGrpSpPr>
      <xdr:grpSpPr bwMode="auto">
        <a:xfrm>
          <a:off x="142876" y="8206740"/>
          <a:ext cx="5562600" cy="253365"/>
          <a:chOff x="0" y="1068"/>
          <a:chExt cx="595" cy="26"/>
        </a:xfrm>
      </xdr:grpSpPr>
      <xdr:sp macro="" textlink="">
        <xdr:nvSpPr>
          <xdr:cNvPr id="11" name="Text Box 21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2" name="Text Box 22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13" name="Text Box 23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4" name="Text Box 24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15" name="AutoShape 27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6" name="AutoShape 28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7" name="AutoShape 29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8" name="AutoShape 30">
            <a:extLst>
              <a:ext uri="{FF2B5EF4-FFF2-40B4-BE49-F238E27FC236}">
                <a16:creationId xmlns:a16="http://schemas.microsoft.com/office/drawing/2014/main" id="{00000000-0008-0000-1300-00001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31</xdr:row>
      <xdr:rowOff>152400</xdr:rowOff>
    </xdr:from>
    <xdr:to>
      <xdr:col>4</xdr:col>
      <xdr:colOff>581025</xdr:colOff>
      <xdr:row>31</xdr:row>
      <xdr:rowOff>152400</xdr:rowOff>
    </xdr:to>
    <xdr:sp macro="" textlink="">
      <xdr:nvSpPr>
        <xdr:cNvPr id="13313" name="Line 1">
          <a:extLst>
            <a:ext uri="{FF2B5EF4-FFF2-40B4-BE49-F238E27FC236}">
              <a16:creationId xmlns:a16="http://schemas.microsoft.com/office/drawing/2014/main" id="{00000000-0008-0000-1400-000001340000}"/>
            </a:ext>
          </a:extLst>
        </xdr:cNvPr>
        <xdr:cNvSpPr>
          <a:spLocks noChangeShapeType="1"/>
        </xdr:cNvSpPr>
      </xdr:nvSpPr>
      <xdr:spPr bwMode="auto">
        <a:xfrm>
          <a:off x="2819400" y="48958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35</xdr:row>
      <xdr:rowOff>0</xdr:rowOff>
    </xdr:from>
    <xdr:to>
      <xdr:col>4</xdr:col>
      <xdr:colOff>581025</xdr:colOff>
      <xdr:row>35</xdr:row>
      <xdr:rowOff>0</xdr:rowOff>
    </xdr:to>
    <xdr:sp macro="" textlink="">
      <xdr:nvSpPr>
        <xdr:cNvPr id="13314" name="Line 2">
          <a:extLst>
            <a:ext uri="{FF2B5EF4-FFF2-40B4-BE49-F238E27FC236}">
              <a16:creationId xmlns:a16="http://schemas.microsoft.com/office/drawing/2014/main" id="{00000000-0008-0000-1400-000002340000}"/>
            </a:ext>
          </a:extLst>
        </xdr:cNvPr>
        <xdr:cNvSpPr>
          <a:spLocks noChangeShapeType="1"/>
        </xdr:cNvSpPr>
      </xdr:nvSpPr>
      <xdr:spPr bwMode="auto">
        <a:xfrm>
          <a:off x="2819400" y="53911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0</xdr:rowOff>
    </xdr:from>
    <xdr:to>
      <xdr:col>0</xdr:col>
      <xdr:colOff>723900</xdr:colOff>
      <xdr:row>35</xdr:row>
      <xdr:rowOff>0</xdr:rowOff>
    </xdr:to>
    <xdr:sp macro="" textlink="">
      <xdr:nvSpPr>
        <xdr:cNvPr id="13315" name="Line 3">
          <a:extLst>
            <a:ext uri="{FF2B5EF4-FFF2-40B4-BE49-F238E27FC236}">
              <a16:creationId xmlns:a16="http://schemas.microsoft.com/office/drawing/2014/main" id="{00000000-0008-0000-1400-000003340000}"/>
            </a:ext>
          </a:extLst>
        </xdr:cNvPr>
        <xdr:cNvSpPr>
          <a:spLocks noChangeShapeType="1"/>
        </xdr:cNvSpPr>
      </xdr:nvSpPr>
      <xdr:spPr bwMode="auto">
        <a:xfrm>
          <a:off x="209550" y="539115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13316" name="Line 4">
          <a:extLst>
            <a:ext uri="{FF2B5EF4-FFF2-40B4-BE49-F238E27FC236}">
              <a16:creationId xmlns:a16="http://schemas.microsoft.com/office/drawing/2014/main" id="{00000000-0008-0000-1400-000004340000}"/>
            </a:ext>
          </a:extLst>
        </xdr:cNvPr>
        <xdr:cNvSpPr>
          <a:spLocks noChangeShapeType="1"/>
        </xdr:cNvSpPr>
      </xdr:nvSpPr>
      <xdr:spPr bwMode="auto">
        <a:xfrm>
          <a:off x="2124075" y="5391150"/>
          <a:ext cx="600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333375</xdr:colOff>
      <xdr:row>35</xdr:row>
      <xdr:rowOff>0</xdr:rowOff>
    </xdr:from>
    <xdr:to>
      <xdr:col>7</xdr:col>
      <xdr:colOff>381000</xdr:colOff>
      <xdr:row>35</xdr:row>
      <xdr:rowOff>0</xdr:rowOff>
    </xdr:to>
    <xdr:sp macro="" textlink="">
      <xdr:nvSpPr>
        <xdr:cNvPr id="13317" name="Line 5">
          <a:extLst>
            <a:ext uri="{FF2B5EF4-FFF2-40B4-BE49-F238E27FC236}">
              <a16:creationId xmlns:a16="http://schemas.microsoft.com/office/drawing/2014/main" id="{00000000-0008-0000-1400-000005340000}"/>
            </a:ext>
          </a:extLst>
        </xdr:cNvPr>
        <xdr:cNvSpPr>
          <a:spLocks noChangeShapeType="1"/>
        </xdr:cNvSpPr>
      </xdr:nvSpPr>
      <xdr:spPr bwMode="auto">
        <a:xfrm>
          <a:off x="4248150" y="539115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</xdr:col>
      <xdr:colOff>542925</xdr:colOff>
      <xdr:row>15</xdr:row>
      <xdr:rowOff>0</xdr:rowOff>
    </xdr:from>
    <xdr:ext cx="114300" cy="200025"/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00000000-0008-0000-1400-00000634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\preliminar\concreto\agregado\arena\Arena-AGO-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%202020\1.0%20Trabajos%202020\Varios\10.%20Carpeta%20no%20Conforme%20-%20sacar%20de%20la%20red%20para%20la%20auditoria\ENSAYOS\2.%20Moro\01-10-20%20BASE\2da%20entrega\GRA-01-H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3.%20MAYO-2006\3.%20SUB-BASE%20GRANULAR\SUB%20-%20BASE\sub-base-CB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4.JUNIO-2006\5.%20OBRAS%20DE%20ARTE%20Y%20DRENAJE\6.%20CONCRETO\AGREGADOS\Grava-planta\Grava-2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-JAEN\preliminar%2001\concreto\Agregado\arena\Arena-AGO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Con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7">
          <cell r="C7" t="str">
            <v>Mejoramiento y ampliacion de los sistemas de agua potable, alcantarillado y tratamiento de aguas residuales</v>
          </cell>
        </row>
        <row r="8">
          <cell r="A8" t="str">
            <v>Ubicación</v>
          </cell>
          <cell r="C8" t="str">
            <v>Jaen-Cajamarca-Peru</v>
          </cell>
        </row>
        <row r="9">
          <cell r="A9" t="str">
            <v>Certificado</v>
          </cell>
        </row>
        <row r="12">
          <cell r="A12" t="str">
            <v>Estructura</v>
          </cell>
        </row>
      </sheetData>
      <sheetData sheetId="4"/>
      <sheetData sheetId="5">
        <row r="3">
          <cell r="C3">
            <v>5.46</v>
          </cell>
          <cell r="L3">
            <v>0</v>
          </cell>
        </row>
        <row r="4">
          <cell r="C4">
            <v>95.38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PU-C"/>
      <sheetName val="PU-S"/>
      <sheetName val="G_E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C8" t="str">
            <v>Campavan</v>
          </cell>
        </row>
      </sheetData>
      <sheetData sheetId="10">
        <row r="3">
          <cell r="C3">
            <v>9</v>
          </cell>
          <cell r="L3">
            <v>0</v>
          </cell>
        </row>
        <row r="4">
          <cell r="C4">
            <v>57.2</v>
          </cell>
          <cell r="L4">
            <v>0</v>
          </cell>
        </row>
        <row r="5">
          <cell r="C5" t="str">
            <v>NP</v>
          </cell>
          <cell r="L5">
            <v>1</v>
          </cell>
        </row>
        <row r="6">
          <cell r="L6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A11" t="str">
            <v>Cantera</v>
          </cell>
        </row>
        <row r="12">
          <cell r="A12" t="str">
            <v>Muestra</v>
          </cell>
        </row>
        <row r="14">
          <cell r="A14" t="str">
            <v>Fecha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LL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9">
          <cell r="A9" t="str">
            <v>Certificado</v>
          </cell>
          <cell r="F9" t="str">
            <v>Hecho por :</v>
          </cell>
          <cell r="H9" t="str">
            <v>F. L. G</v>
          </cell>
        </row>
        <row r="10">
          <cell r="F10" t="str">
            <v>Revisado   :</v>
          </cell>
          <cell r="H10" t="str">
            <v>I. C. L.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eofal.com.p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eofal.com.pe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geofal.com.p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ColWidth="11.44140625" defaultRowHeight="13.2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E78"/>
  <sheetViews>
    <sheetView view="pageBreakPreview" topLeftCell="A13" zoomScaleNormal="100" zoomScaleSheetLayoutView="100" workbookViewId="0">
      <selection activeCell="D27" sqref="D26:D27"/>
    </sheetView>
  </sheetViews>
  <sheetFormatPr baseColWidth="10" defaultColWidth="11.44140625" defaultRowHeight="13.2"/>
  <cols>
    <col min="1" max="1" width="10.88671875" style="149" customWidth="1"/>
    <col min="2" max="2" width="1.33203125" style="149" customWidth="1"/>
    <col min="3" max="3" width="6" style="149" customWidth="1"/>
    <col min="4" max="4" width="6.109375" style="149" customWidth="1"/>
    <col min="5" max="5" width="8" style="149" customWidth="1"/>
    <col min="6" max="6" width="6.109375" style="149" customWidth="1"/>
    <col min="7" max="7" width="7.109375" style="149" customWidth="1"/>
    <col min="8" max="8" width="7" style="149" customWidth="1"/>
    <col min="9" max="9" width="6.88671875" style="149" customWidth="1"/>
    <col min="10" max="12" width="4.6640625" style="149" customWidth="1"/>
    <col min="13" max="13" width="14.88671875" style="149" customWidth="1"/>
    <col min="14" max="14" width="1" style="149" customWidth="1"/>
    <col min="15" max="15" width="8.6640625" style="149" customWidth="1"/>
    <col min="16" max="16" width="5.6640625" style="149" customWidth="1"/>
    <col min="17" max="17" width="1.44140625" style="149" customWidth="1"/>
    <col min="18" max="20" width="8.6640625" style="149" customWidth="1"/>
    <col min="21" max="22" width="11.44140625" style="149"/>
    <col min="23" max="31" width="6.6640625" style="149" customWidth="1"/>
    <col min="32" max="16384" width="11.44140625" style="149"/>
  </cols>
  <sheetData>
    <row r="1" spans="1:19" ht="15.75" customHeight="1" thickTop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1"/>
    </row>
    <row r="2" spans="1:19" ht="15.75" customHeight="1">
      <c r="A2" s="752"/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4"/>
    </row>
    <row r="3" spans="1:19" ht="15.75" customHeight="1">
      <c r="A3" s="755"/>
      <c r="B3" s="756"/>
      <c r="C3" s="748"/>
      <c r="D3" s="756"/>
      <c r="E3" s="756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8"/>
    </row>
    <row r="4" spans="1:19" ht="15.75" customHeight="1">
      <c r="A4" s="755"/>
      <c r="B4" s="756"/>
      <c r="C4" s="753"/>
      <c r="D4" s="756"/>
      <c r="E4" s="756"/>
      <c r="F4" s="757"/>
      <c r="G4" s="757"/>
      <c r="H4" s="757"/>
      <c r="I4" s="757"/>
      <c r="J4" s="757"/>
      <c r="K4" s="757"/>
      <c r="L4" s="757"/>
      <c r="M4" s="757"/>
      <c r="N4" s="757"/>
      <c r="O4" s="757"/>
      <c r="P4" s="758"/>
    </row>
    <row r="5" spans="1:19" ht="15.75" customHeight="1">
      <c r="A5" s="755"/>
      <c r="B5" s="756"/>
      <c r="C5" s="756"/>
      <c r="D5" s="756"/>
      <c r="E5" s="756"/>
      <c r="F5" s="753"/>
      <c r="G5" s="753"/>
      <c r="H5" s="753"/>
      <c r="I5" s="753"/>
      <c r="J5" s="753"/>
      <c r="K5" s="753"/>
      <c r="L5" s="753"/>
      <c r="M5" s="753"/>
      <c r="N5" s="753"/>
      <c r="O5" s="753"/>
      <c r="P5" s="754"/>
    </row>
    <row r="6" spans="1:19" ht="15.75" customHeight="1" thickBot="1">
      <c r="A6" s="755"/>
      <c r="B6" s="756"/>
      <c r="C6" s="756"/>
      <c r="D6" s="756"/>
      <c r="E6" s="756"/>
      <c r="F6" s="753"/>
      <c r="G6" s="753"/>
      <c r="H6" s="753"/>
      <c r="I6" s="753"/>
      <c r="J6" s="753"/>
      <c r="K6" s="753"/>
      <c r="L6" s="753"/>
      <c r="M6" s="756"/>
      <c r="N6" s="756"/>
      <c r="O6" s="756"/>
      <c r="P6" s="754"/>
    </row>
    <row r="7" spans="1:19" ht="24" customHeight="1" thickTop="1">
      <c r="A7" s="1347" t="s">
        <v>0</v>
      </c>
      <c r="B7" s="1348"/>
      <c r="C7" s="1348"/>
      <c r="D7" s="1348"/>
      <c r="E7" s="1348"/>
      <c r="F7" s="1348"/>
      <c r="G7" s="1348"/>
      <c r="H7" s="1348"/>
      <c r="I7" s="1348"/>
      <c r="J7" s="1348"/>
      <c r="K7" s="1348"/>
      <c r="L7" s="1348"/>
      <c r="M7" s="1348"/>
      <c r="N7" s="1348"/>
      <c r="O7" s="1348"/>
      <c r="P7" s="1349"/>
    </row>
    <row r="8" spans="1:19" ht="21.75" customHeight="1">
      <c r="A8" s="1358" t="s">
        <v>1</v>
      </c>
      <c r="B8" s="1359"/>
      <c r="C8" s="1359"/>
      <c r="D8" s="1359"/>
      <c r="E8" s="1359"/>
      <c r="F8" s="1359"/>
      <c r="G8" s="1359"/>
      <c r="H8" s="1359"/>
      <c r="I8" s="1359"/>
      <c r="J8" s="1359"/>
      <c r="K8" s="1359"/>
      <c r="L8" s="1359"/>
      <c r="M8" s="1359"/>
      <c r="N8" s="1359"/>
      <c r="O8" s="1359"/>
      <c r="P8" s="1360"/>
    </row>
    <row r="9" spans="1:19" ht="15" customHeight="1">
      <c r="A9" s="812" t="s">
        <v>2</v>
      </c>
      <c r="B9" s="756" t="s">
        <v>3</v>
      </c>
      <c r="C9" s="811" t="s">
        <v>4</v>
      </c>
      <c r="D9" s="810"/>
      <c r="E9" s="810"/>
      <c r="F9" s="810"/>
      <c r="G9" s="810"/>
      <c r="H9" s="810"/>
      <c r="I9" s="810"/>
      <c r="J9" s="810"/>
      <c r="K9" s="810"/>
      <c r="L9" s="810"/>
      <c r="M9" s="759"/>
      <c r="N9" s="759"/>
      <c r="O9" s="759"/>
      <c r="P9" s="813"/>
    </row>
    <row r="10" spans="1:19" ht="15" customHeight="1">
      <c r="A10" s="814" t="s">
        <v>5</v>
      </c>
      <c r="B10" s="761" t="s">
        <v>3</v>
      </c>
      <c r="C10" s="1030" t="s">
        <v>6</v>
      </c>
      <c r="D10" s="762"/>
      <c r="E10" s="762"/>
      <c r="F10" s="762"/>
      <c r="G10" s="762"/>
      <c r="H10" s="762"/>
      <c r="I10" s="762"/>
      <c r="J10" s="762"/>
      <c r="K10" s="762"/>
      <c r="L10" s="762"/>
      <c r="M10" s="756" t="s">
        <v>7</v>
      </c>
      <c r="N10" s="756" t="s">
        <v>3</v>
      </c>
      <c r="O10" s="1350" t="s">
        <v>8</v>
      </c>
      <c r="P10" s="1351"/>
      <c r="R10" s="152" t="s">
        <v>9</v>
      </c>
      <c r="S10" s="152" t="s">
        <v>10</v>
      </c>
    </row>
    <row r="11" spans="1:19" ht="15" customHeight="1">
      <c r="A11" s="812" t="s">
        <v>11</v>
      </c>
      <c r="B11" s="761" t="s">
        <v>3</v>
      </c>
      <c r="C11" s="1030" t="s">
        <v>12</v>
      </c>
      <c r="D11" s="762"/>
      <c r="E11" s="762"/>
      <c r="F11" s="762"/>
      <c r="G11" s="762"/>
      <c r="H11" s="762"/>
      <c r="I11" s="762"/>
      <c r="J11" s="762"/>
      <c r="K11" s="762"/>
      <c r="L11" s="762"/>
      <c r="M11" s="756" t="s">
        <v>13</v>
      </c>
      <c r="N11" s="756" t="s">
        <v>3</v>
      </c>
      <c r="O11" s="1352"/>
      <c r="P11" s="1353"/>
      <c r="R11" s="152" t="e">
        <f>+#REF!</f>
        <v>#REF!</v>
      </c>
      <c r="S11" s="153">
        <f>+M20</f>
        <v>0</v>
      </c>
    </row>
    <row r="12" spans="1:19" ht="15" customHeight="1">
      <c r="A12" s="812" t="s">
        <v>14</v>
      </c>
      <c r="B12" s="756" t="s">
        <v>3</v>
      </c>
      <c r="C12" s="763" t="s">
        <v>15</v>
      </c>
      <c r="D12" s="764"/>
      <c r="E12" s="762"/>
      <c r="F12" s="762"/>
      <c r="G12" s="762"/>
      <c r="H12" s="762"/>
      <c r="I12" s="762"/>
      <c r="J12" s="762"/>
      <c r="K12" s="762"/>
      <c r="L12" s="762"/>
      <c r="M12" s="756" t="s">
        <v>16</v>
      </c>
      <c r="N12" s="756" t="s">
        <v>3</v>
      </c>
      <c r="O12" s="1354">
        <v>41876</v>
      </c>
      <c r="P12" s="1355"/>
      <c r="R12" s="152" t="e">
        <f>+#REF!</f>
        <v>#REF!</v>
      </c>
      <c r="S12" s="153">
        <f>+O20</f>
        <v>0</v>
      </c>
    </row>
    <row r="13" spans="1:19" ht="15" customHeight="1">
      <c r="A13" s="812" t="s">
        <v>17</v>
      </c>
      <c r="B13" s="756" t="s">
        <v>3</v>
      </c>
      <c r="C13" s="765" t="s">
        <v>18</v>
      </c>
      <c r="D13" s="864"/>
      <c r="E13" s="760"/>
      <c r="F13" s="760"/>
      <c r="G13" s="760"/>
      <c r="H13" s="760"/>
      <c r="I13" s="760"/>
      <c r="J13" s="760"/>
      <c r="K13" s="760"/>
      <c r="L13" s="760"/>
      <c r="M13" s="756" t="s">
        <v>19</v>
      </c>
      <c r="N13" s="756" t="s">
        <v>3</v>
      </c>
      <c r="O13" s="1356" t="s">
        <v>20</v>
      </c>
      <c r="P13" s="1357"/>
      <c r="R13" s="152" t="e">
        <f>+#REF!</f>
        <v>#REF!</v>
      </c>
      <c r="S13" s="153">
        <f>+P20</f>
        <v>0</v>
      </c>
    </row>
    <row r="14" spans="1:19" ht="15" customHeight="1">
      <c r="C14" s="865"/>
      <c r="D14" s="871"/>
      <c r="E14" s="872"/>
      <c r="F14" s="866"/>
      <c r="G14" s="867"/>
      <c r="H14" s="867"/>
      <c r="I14" s="867"/>
      <c r="J14" s="867"/>
      <c r="K14" s="873"/>
      <c r="L14" s="867"/>
      <c r="M14" s="753"/>
      <c r="N14" s="753"/>
      <c r="O14" s="753"/>
      <c r="P14" s="815"/>
    </row>
    <row r="15" spans="1:19" ht="9.75" customHeight="1">
      <c r="A15" s="816"/>
      <c r="B15" s="753"/>
      <c r="C15" s="767"/>
      <c r="D15" s="768"/>
      <c r="E15" s="768"/>
      <c r="F15" s="753"/>
      <c r="G15" s="753"/>
      <c r="H15" s="753"/>
      <c r="I15" s="753"/>
      <c r="J15" s="753"/>
      <c r="K15" s="753"/>
      <c r="L15" s="753"/>
      <c r="M15" s="769"/>
      <c r="N15" s="769"/>
      <c r="O15" s="769"/>
      <c r="P15" s="817"/>
      <c r="Q15" s="275"/>
    </row>
    <row r="16" spans="1:19" ht="15.9" customHeight="1">
      <c r="A16" s="818" t="s">
        <v>21</v>
      </c>
      <c r="B16" s="759"/>
      <c r="C16" s="770"/>
      <c r="D16" s="770"/>
      <c r="E16" s="770"/>
      <c r="F16" s="1346" t="s">
        <v>22</v>
      </c>
      <c r="G16" s="1346"/>
      <c r="H16" s="1346"/>
      <c r="I16" s="1028"/>
      <c r="J16" s="757"/>
      <c r="K16" s="753"/>
      <c r="L16" s="753"/>
      <c r="M16" s="769"/>
      <c r="N16" s="769"/>
      <c r="O16" s="769"/>
      <c r="P16" s="817"/>
    </row>
    <row r="17" spans="1:31" ht="15.9" customHeight="1">
      <c r="A17" s="812" t="s">
        <v>23</v>
      </c>
      <c r="B17" s="756"/>
      <c r="C17" s="753"/>
      <c r="D17" s="753"/>
      <c r="E17" s="753"/>
      <c r="F17" s="753" t="s">
        <v>24</v>
      </c>
      <c r="G17" s="753" t="s">
        <v>25</v>
      </c>
      <c r="H17" s="753">
        <v>1031</v>
      </c>
      <c r="I17" s="753"/>
      <c r="J17" s="753"/>
      <c r="K17" s="753"/>
      <c r="L17" s="753"/>
      <c r="M17" s="769"/>
      <c r="N17" s="769"/>
      <c r="O17" s="769"/>
      <c r="P17" s="817"/>
      <c r="Q17" s="275"/>
      <c r="R17" s="152">
        <v>25</v>
      </c>
      <c r="S17" s="152">
        <v>0</v>
      </c>
    </row>
    <row r="18" spans="1:31" ht="15.9" customHeight="1">
      <c r="A18" s="816" t="s">
        <v>26</v>
      </c>
      <c r="B18" s="756"/>
      <c r="C18" s="753"/>
      <c r="D18" s="1329">
        <f>+SUM(F24:F41)</f>
        <v>7988.2999999999993</v>
      </c>
      <c r="E18" s="1329"/>
      <c r="F18" s="753" t="s">
        <v>27</v>
      </c>
      <c r="G18" s="753" t="s">
        <v>25</v>
      </c>
      <c r="H18" s="753">
        <v>1017</v>
      </c>
      <c r="I18" s="771"/>
      <c r="J18" s="753"/>
      <c r="K18" s="753"/>
      <c r="L18" s="753"/>
      <c r="M18" s="769"/>
      <c r="N18" s="769"/>
      <c r="O18" s="769"/>
      <c r="P18" s="817"/>
      <c r="R18" s="152">
        <v>25</v>
      </c>
      <c r="S18" s="1031">
        <v>0</v>
      </c>
      <c r="T18" s="149" t="s">
        <v>28</v>
      </c>
      <c r="U18" s="273" t="e">
        <f>+M20/(1.419-0.3*LOG10(#REF!))</f>
        <v>#REF!</v>
      </c>
      <c r="V18" s="273" t="e">
        <f>+O20/(1.419-0.3*LOG10(#REF!))</f>
        <v>#REF!</v>
      </c>
      <c r="W18" s="273"/>
    </row>
    <row r="19" spans="1:31" ht="15.9" customHeight="1">
      <c r="A19" s="816" t="s">
        <v>29</v>
      </c>
      <c r="B19" s="753"/>
      <c r="C19" s="753"/>
      <c r="F19" s="753" t="s">
        <v>30</v>
      </c>
      <c r="G19" s="753" t="s">
        <v>25</v>
      </c>
      <c r="H19" s="841">
        <f>((H17-H18)/H18)*100</f>
        <v>1.3765978367748279</v>
      </c>
      <c r="I19" s="753"/>
      <c r="J19" s="753"/>
      <c r="K19" s="753"/>
      <c r="L19" s="753"/>
      <c r="M19" s="769"/>
      <c r="N19" s="769"/>
      <c r="O19" s="769"/>
      <c r="P19" s="817"/>
      <c r="R19" s="152">
        <v>10</v>
      </c>
      <c r="S19" s="152">
        <f>+S18</f>
        <v>0</v>
      </c>
      <c r="T19" s="149" t="s">
        <v>28</v>
      </c>
      <c r="U19" s="273" t="e">
        <f>+AVERAGE(U18:W18)</f>
        <v>#REF!</v>
      </c>
      <c r="V19" s="273"/>
      <c r="W19" s="273"/>
    </row>
    <row r="20" spans="1:31" ht="9" customHeight="1">
      <c r="A20" s="816"/>
      <c r="B20" s="753"/>
      <c r="C20" s="753"/>
      <c r="D20" s="1329"/>
      <c r="E20" s="1329"/>
      <c r="F20" s="753"/>
      <c r="G20" s="753"/>
      <c r="H20" s="753"/>
      <c r="I20" s="753"/>
      <c r="J20" s="753"/>
      <c r="K20" s="753"/>
      <c r="L20" s="753"/>
      <c r="M20" s="769"/>
      <c r="N20" s="769"/>
      <c r="O20" s="769"/>
      <c r="P20" s="817"/>
      <c r="Q20" s="275"/>
      <c r="R20" s="152"/>
      <c r="S20" s="152"/>
    </row>
    <row r="21" spans="1:31" ht="1.5" customHeight="1">
      <c r="A21" s="816"/>
      <c r="B21" s="753"/>
      <c r="C21" s="753"/>
      <c r="D21" s="753" t="s">
        <v>3</v>
      </c>
      <c r="E21" s="772"/>
      <c r="F21" s="753"/>
      <c r="G21" s="753"/>
      <c r="H21" s="753"/>
      <c r="I21" s="753"/>
      <c r="J21" s="753"/>
      <c r="K21" s="753"/>
      <c r="L21" s="753"/>
      <c r="M21" s="753"/>
      <c r="N21" s="753"/>
      <c r="O21" s="753"/>
      <c r="P21" s="815"/>
      <c r="R21" s="152"/>
      <c r="S21" s="176"/>
      <c r="T21" s="149" t="s">
        <v>31</v>
      </c>
    </row>
    <row r="22" spans="1:31" ht="15" customHeight="1" thickBot="1">
      <c r="A22" s="812"/>
      <c r="B22" s="753"/>
      <c r="C22" s="753"/>
      <c r="D22" s="773" t="s">
        <v>32</v>
      </c>
      <c r="E22" s="1077"/>
      <c r="F22" s="1078" t="s">
        <v>33</v>
      </c>
      <c r="G22" s="1078" t="s">
        <v>34</v>
      </c>
      <c r="H22" s="1078" t="s">
        <v>34</v>
      </c>
      <c r="I22" s="1079" t="s">
        <v>35</v>
      </c>
      <c r="J22" s="1323" t="s">
        <v>36</v>
      </c>
      <c r="K22" s="1324"/>
      <c r="L22" s="1325"/>
      <c r="M22" s="753"/>
      <c r="N22" s="753"/>
      <c r="O22" s="753"/>
      <c r="P22" s="815"/>
      <c r="R22" s="152"/>
      <c r="S22" s="177" t="e">
        <f>+AVERAGE(M30:O30)</f>
        <v>#DIV/0!</v>
      </c>
      <c r="T22" s="149" t="s">
        <v>31</v>
      </c>
    </row>
    <row r="23" spans="1:31" ht="15" customHeight="1">
      <c r="A23" s="816"/>
      <c r="B23" s="753"/>
      <c r="C23" s="753"/>
      <c r="D23" s="774" t="s">
        <v>37</v>
      </c>
      <c r="E23" s="774" t="s">
        <v>38</v>
      </c>
      <c r="F23" s="774" t="s">
        <v>39</v>
      </c>
      <c r="G23" s="774" t="s">
        <v>40</v>
      </c>
      <c r="H23" s="774" t="s">
        <v>41</v>
      </c>
      <c r="I23" s="1032" t="s">
        <v>42</v>
      </c>
      <c r="J23" s="1326" t="s">
        <v>43</v>
      </c>
      <c r="K23" s="1327"/>
      <c r="L23" s="1328"/>
      <c r="M23" s="759"/>
      <c r="N23" s="759"/>
      <c r="O23" s="759"/>
      <c r="P23" s="819"/>
      <c r="U23" s="1332" t="s">
        <v>44</v>
      </c>
      <c r="V23" s="1333"/>
      <c r="W23" s="1336" t="s">
        <v>43</v>
      </c>
      <c r="X23" s="1337"/>
      <c r="Y23" s="1330" t="s">
        <v>45</v>
      </c>
      <c r="Z23" s="1331"/>
      <c r="AA23" s="1330" t="s">
        <v>46</v>
      </c>
      <c r="AB23" s="1331"/>
      <c r="AC23" s="1330" t="s">
        <v>47</v>
      </c>
      <c r="AD23" s="1331"/>
      <c r="AE23" s="276"/>
    </row>
    <row r="24" spans="1:31" ht="15" customHeight="1">
      <c r="A24" s="816"/>
      <c r="B24" s="753"/>
      <c r="C24" s="753"/>
      <c r="D24" s="775" t="s">
        <v>48</v>
      </c>
      <c r="E24" s="776">
        <v>76.2</v>
      </c>
      <c r="F24" s="777"/>
      <c r="G24" s="778"/>
      <c r="H24" s="779"/>
      <c r="I24" s="780"/>
      <c r="J24" s="781"/>
      <c r="K24" s="1080"/>
      <c r="L24" s="1081"/>
      <c r="M24" s="766"/>
      <c r="N24" s="766"/>
      <c r="O24" s="766"/>
      <c r="P24" s="820"/>
      <c r="R24" s="149">
        <v>20.170000000000002</v>
      </c>
      <c r="S24" s="149">
        <v>21.22</v>
      </c>
      <c r="U24" s="1334"/>
      <c r="V24" s="1335"/>
      <c r="W24" s="834"/>
      <c r="X24" s="835"/>
      <c r="Y24" s="835"/>
      <c r="Z24" s="836"/>
      <c r="AA24" s="835"/>
      <c r="AB24" s="836"/>
      <c r="AC24" s="837"/>
      <c r="AD24" s="837"/>
      <c r="AE24" s="838"/>
    </row>
    <row r="25" spans="1:31" ht="15" customHeight="1">
      <c r="A25" s="816"/>
      <c r="B25" s="753"/>
      <c r="C25" s="753"/>
      <c r="D25" s="782" t="s">
        <v>49</v>
      </c>
      <c r="E25" s="776">
        <v>63.5</v>
      </c>
      <c r="F25" s="783"/>
      <c r="G25" s="778"/>
      <c r="H25" s="779"/>
      <c r="I25" s="780"/>
      <c r="J25" s="784"/>
      <c r="K25" s="1082"/>
      <c r="L25" s="1083"/>
      <c r="M25" s="769"/>
      <c r="N25" s="769"/>
      <c r="O25" s="769"/>
      <c r="P25" s="820"/>
      <c r="Q25" s="275"/>
      <c r="R25" s="156"/>
      <c r="S25" s="157"/>
      <c r="U25" s="277" t="s">
        <v>50</v>
      </c>
      <c r="V25" s="278" t="s">
        <v>51</v>
      </c>
      <c r="W25" s="831"/>
      <c r="X25" s="832"/>
      <c r="Y25" s="832"/>
      <c r="Z25" s="833"/>
      <c r="AA25" s="832"/>
      <c r="AB25" s="833"/>
      <c r="AC25" s="832"/>
      <c r="AD25" s="832"/>
      <c r="AE25" s="833"/>
    </row>
    <row r="26" spans="1:31" ht="15" customHeight="1">
      <c r="A26" s="816"/>
      <c r="B26" s="753"/>
      <c r="C26" s="753"/>
      <c r="D26" s="775" t="s">
        <v>52</v>
      </c>
      <c r="E26" s="776">
        <v>50.6</v>
      </c>
      <c r="F26" s="785"/>
      <c r="G26" s="778"/>
      <c r="H26" s="779"/>
      <c r="I26" s="780">
        <f t="shared" ref="I26:I27" si="0">100-H26</f>
        <v>100</v>
      </c>
      <c r="J26" s="786"/>
      <c r="K26" s="1084">
        <v>100</v>
      </c>
      <c r="L26" s="1081"/>
      <c r="M26" s="769"/>
      <c r="N26" s="769"/>
      <c r="O26" s="769"/>
      <c r="P26" s="821"/>
      <c r="U26" s="277" t="s">
        <v>49</v>
      </c>
      <c r="V26" s="278">
        <v>63.5</v>
      </c>
      <c r="W26" s="279"/>
      <c r="X26" s="280"/>
      <c r="Y26" s="280">
        <v>100</v>
      </c>
      <c r="Z26" s="281"/>
      <c r="AA26" s="280"/>
      <c r="AB26" s="281"/>
      <c r="AC26" s="280">
        <v>100</v>
      </c>
      <c r="AD26" s="280"/>
      <c r="AE26" s="281"/>
    </row>
    <row r="27" spans="1:31" ht="15" customHeight="1">
      <c r="A27" s="816"/>
      <c r="B27" s="753"/>
      <c r="C27" s="753"/>
      <c r="D27" s="875" t="s">
        <v>53</v>
      </c>
      <c r="E27" s="776">
        <v>38.1</v>
      </c>
      <c r="F27" s="785">
        <v>0</v>
      </c>
      <c r="G27" s="778">
        <f>(F27/$D$18*100)</f>
        <v>0</v>
      </c>
      <c r="H27" s="779">
        <f t="shared" ref="H27:H28" si="1">+H26+G27</f>
        <v>0</v>
      </c>
      <c r="I27" s="780">
        <f t="shared" si="0"/>
        <v>100</v>
      </c>
      <c r="J27" s="786">
        <v>95</v>
      </c>
      <c r="K27" s="1085"/>
      <c r="L27" s="1086">
        <v>100</v>
      </c>
      <c r="M27" s="769"/>
      <c r="N27" s="769"/>
      <c r="O27" s="769"/>
      <c r="P27" s="821"/>
      <c r="Q27" s="275"/>
      <c r="U27" s="277" t="s">
        <v>52</v>
      </c>
      <c r="V27" s="278">
        <v>50.6</v>
      </c>
      <c r="W27" s="279">
        <v>100</v>
      </c>
      <c r="X27" s="280"/>
      <c r="Y27" s="280">
        <v>95</v>
      </c>
      <c r="Z27" s="281">
        <v>100</v>
      </c>
      <c r="AA27" s="280">
        <v>100</v>
      </c>
      <c r="AB27" s="281"/>
      <c r="AC27" s="280">
        <v>95</v>
      </c>
      <c r="AD27" s="280">
        <v>100</v>
      </c>
      <c r="AE27" s="284"/>
    </row>
    <row r="28" spans="1:31" ht="15" customHeight="1">
      <c r="A28" s="816"/>
      <c r="B28" s="753"/>
      <c r="C28" s="753"/>
      <c r="D28" s="874" t="s">
        <v>54</v>
      </c>
      <c r="E28" s="776">
        <v>25.4</v>
      </c>
      <c r="F28" s="785">
        <v>0</v>
      </c>
      <c r="G28" s="778">
        <f t="shared" ref="G28:G35" si="2">(F28/$D$18*100)</f>
        <v>0</v>
      </c>
      <c r="H28" s="779">
        <f t="shared" si="1"/>
        <v>0</v>
      </c>
      <c r="I28" s="780">
        <v>75.7</v>
      </c>
      <c r="J28" s="786"/>
      <c r="K28" s="1085"/>
      <c r="L28" s="1086"/>
      <c r="M28" s="769"/>
      <c r="N28" s="769"/>
      <c r="O28" s="769"/>
      <c r="P28" s="821"/>
      <c r="S28" s="158"/>
      <c r="U28" s="285" t="s">
        <v>53</v>
      </c>
      <c r="V28" s="278">
        <v>38.1</v>
      </c>
      <c r="W28" s="279">
        <v>95</v>
      </c>
      <c r="X28" s="280">
        <v>100</v>
      </c>
      <c r="Y28" s="280"/>
      <c r="Z28" s="281"/>
      <c r="AA28" s="280">
        <v>90</v>
      </c>
      <c r="AB28" s="281">
        <v>100</v>
      </c>
      <c r="AC28" s="280">
        <v>35</v>
      </c>
      <c r="AD28" s="280">
        <v>70</v>
      </c>
      <c r="AE28" s="284"/>
    </row>
    <row r="29" spans="1:31" ht="15" customHeight="1">
      <c r="A29" s="816"/>
      <c r="B29" s="753"/>
      <c r="C29" s="753"/>
      <c r="D29" s="874" t="s">
        <v>55</v>
      </c>
      <c r="E29" s="776">
        <v>19.05</v>
      </c>
      <c r="F29" s="785">
        <v>1866</v>
      </c>
      <c r="G29" s="778">
        <f t="shared" si="2"/>
        <v>23.359162775559259</v>
      </c>
      <c r="H29" s="779">
        <f t="shared" ref="H29:H35" si="3">+H28+G29</f>
        <v>23.359162775559259</v>
      </c>
      <c r="I29" s="780">
        <v>41.9</v>
      </c>
      <c r="J29" s="786">
        <v>35</v>
      </c>
      <c r="K29" s="1085"/>
      <c r="L29" s="1086">
        <v>70</v>
      </c>
      <c r="M29" s="769"/>
      <c r="N29" s="769"/>
      <c r="O29" s="769"/>
      <c r="P29" s="822"/>
      <c r="S29" s="159">
        <f>+D18</f>
        <v>7988.2999999999993</v>
      </c>
      <c r="U29" s="277" t="s">
        <v>54</v>
      </c>
      <c r="V29" s="278">
        <v>25.4</v>
      </c>
      <c r="W29" s="279"/>
      <c r="X29" s="280"/>
      <c r="Y29" s="280">
        <v>35</v>
      </c>
      <c r="Z29" s="281">
        <v>70</v>
      </c>
      <c r="AA29" s="280">
        <v>20</v>
      </c>
      <c r="AB29" s="281">
        <v>55</v>
      </c>
      <c r="AC29" s="280">
        <v>0</v>
      </c>
      <c r="AD29" s="280">
        <v>15</v>
      </c>
      <c r="AE29" s="284"/>
    </row>
    <row r="30" spans="1:31" ht="15" customHeight="1">
      <c r="A30" s="816"/>
      <c r="B30" s="753"/>
      <c r="C30" s="753"/>
      <c r="D30" s="874" t="s">
        <v>56</v>
      </c>
      <c r="E30" s="776">
        <v>12.7</v>
      </c>
      <c r="F30" s="785">
        <v>2894</v>
      </c>
      <c r="G30" s="778">
        <f t="shared" si="2"/>
        <v>36.227983425760179</v>
      </c>
      <c r="H30" s="779">
        <f t="shared" si="3"/>
        <v>59.587146201319442</v>
      </c>
      <c r="I30" s="780">
        <v>25.6</v>
      </c>
      <c r="J30" s="786"/>
      <c r="K30" s="1085"/>
      <c r="L30" s="1086"/>
      <c r="M30" s="769"/>
      <c r="N30" s="769"/>
      <c r="O30" s="769"/>
      <c r="P30" s="823"/>
      <c r="Q30" s="275"/>
      <c r="S30" s="159">
        <f>+D18-F42</f>
        <v>7988.2999999999993</v>
      </c>
      <c r="T30" s="274">
        <f>SUM(F24:F33)</f>
        <v>7626</v>
      </c>
      <c r="U30" s="277" t="s">
        <v>55</v>
      </c>
      <c r="V30" s="278">
        <v>19.05</v>
      </c>
      <c r="W30" s="279">
        <v>35</v>
      </c>
      <c r="X30" s="280">
        <v>70</v>
      </c>
      <c r="Y30" s="280"/>
      <c r="Z30" s="281"/>
      <c r="AA30" s="280">
        <v>0</v>
      </c>
      <c r="AB30" s="281">
        <v>15</v>
      </c>
      <c r="AC30" s="280"/>
      <c r="AD30" s="280"/>
      <c r="AE30" s="284"/>
    </row>
    <row r="31" spans="1:31" ht="15" customHeight="1">
      <c r="A31" s="816"/>
      <c r="B31" s="753"/>
      <c r="C31" s="753"/>
      <c r="D31" s="874" t="s">
        <v>57</v>
      </c>
      <c r="E31" s="776">
        <v>9.5250000000000004</v>
      </c>
      <c r="F31" s="785">
        <v>1632</v>
      </c>
      <c r="G31" s="778">
        <f t="shared" si="2"/>
        <v>20.429878697595235</v>
      </c>
      <c r="H31" s="779">
        <f t="shared" si="3"/>
        <v>80.017024898914684</v>
      </c>
      <c r="I31" s="780">
        <v>23.8</v>
      </c>
      <c r="J31" s="786">
        <v>10</v>
      </c>
      <c r="K31" s="1085"/>
      <c r="L31" s="1086">
        <v>30</v>
      </c>
      <c r="M31" s="787"/>
      <c r="N31" s="787"/>
      <c r="O31" s="772"/>
      <c r="P31" s="824"/>
      <c r="S31" s="159" t="e">
        <f>+#REF!-T30</f>
        <v>#REF!</v>
      </c>
      <c r="U31" s="277" t="s">
        <v>56</v>
      </c>
      <c r="V31" s="278">
        <v>12.7</v>
      </c>
      <c r="W31" s="279"/>
      <c r="X31" s="280"/>
      <c r="Y31" s="280">
        <v>10</v>
      </c>
      <c r="Z31" s="281">
        <v>30</v>
      </c>
      <c r="AA31" s="280"/>
      <c r="AB31" s="281"/>
      <c r="AC31" s="280">
        <v>0</v>
      </c>
      <c r="AD31" s="280">
        <v>5</v>
      </c>
      <c r="AE31" s="284"/>
    </row>
    <row r="32" spans="1:31" ht="15" customHeight="1">
      <c r="A32" s="816"/>
      <c r="B32" s="753"/>
      <c r="C32" s="753"/>
      <c r="D32" s="874" t="s">
        <v>58</v>
      </c>
      <c r="E32" s="776">
        <v>6.35</v>
      </c>
      <c r="F32" s="785">
        <v>1042</v>
      </c>
      <c r="G32" s="778">
        <f t="shared" si="2"/>
        <v>13.044076962557741</v>
      </c>
      <c r="H32" s="779">
        <f t="shared" si="3"/>
        <v>93.061101861472423</v>
      </c>
      <c r="I32" s="780">
        <f t="shared" ref="I32:I35" si="4">100-H32</f>
        <v>6.938898138527577</v>
      </c>
      <c r="J32" s="786"/>
      <c r="K32" s="1085"/>
      <c r="L32" s="1086"/>
      <c r="M32" s="787"/>
      <c r="N32" s="787"/>
      <c r="O32" s="772"/>
      <c r="P32" s="824"/>
      <c r="S32" s="162" t="e">
        <f>+S31*S30/S29</f>
        <v>#REF!</v>
      </c>
      <c r="U32" s="277" t="s">
        <v>57</v>
      </c>
      <c r="V32" s="155">
        <v>9.5250000000000004</v>
      </c>
      <c r="W32" s="279">
        <v>10</v>
      </c>
      <c r="X32" s="280">
        <v>30</v>
      </c>
      <c r="Y32" s="280"/>
      <c r="Z32" s="281"/>
      <c r="AA32" s="280">
        <v>0</v>
      </c>
      <c r="AB32" s="281">
        <v>5</v>
      </c>
      <c r="AC32" s="283"/>
      <c r="AD32" s="283"/>
      <c r="AE32" s="284"/>
    </row>
    <row r="33" spans="1:31" ht="15" customHeight="1">
      <c r="A33" s="816"/>
      <c r="B33" s="753"/>
      <c r="C33" s="753"/>
      <c r="D33" s="874" t="s">
        <v>59</v>
      </c>
      <c r="E33" s="776">
        <v>4.76</v>
      </c>
      <c r="F33" s="785">
        <v>192</v>
      </c>
      <c r="G33" s="778">
        <f t="shared" si="2"/>
        <v>2.4035151408935569</v>
      </c>
      <c r="H33" s="779">
        <f t="shared" si="3"/>
        <v>95.464617002365983</v>
      </c>
      <c r="I33" s="780">
        <f t="shared" si="4"/>
        <v>4.5353829976340165</v>
      </c>
      <c r="J33" s="786">
        <v>0</v>
      </c>
      <c r="K33" s="1085"/>
      <c r="L33" s="1086">
        <v>5</v>
      </c>
      <c r="M33" s="787"/>
      <c r="N33" s="787"/>
      <c r="O33" s="772"/>
      <c r="P33" s="824"/>
      <c r="S33" s="162"/>
      <c r="U33" s="277" t="s">
        <v>58</v>
      </c>
      <c r="V33" s="155">
        <v>6.35</v>
      </c>
      <c r="W33" s="279"/>
      <c r="X33" s="280"/>
      <c r="Y33" s="280"/>
      <c r="Z33" s="281"/>
      <c r="AA33" s="280"/>
      <c r="AB33" s="281"/>
      <c r="AC33" s="283"/>
      <c r="AD33" s="283"/>
      <c r="AE33" s="284"/>
    </row>
    <row r="34" spans="1:31" ht="15" customHeight="1">
      <c r="A34" s="816"/>
      <c r="B34" s="753"/>
      <c r="C34" s="753"/>
      <c r="D34" s="775">
        <v>8</v>
      </c>
      <c r="E34" s="776">
        <v>2.36</v>
      </c>
      <c r="F34" s="785">
        <v>199.9</v>
      </c>
      <c r="G34" s="778">
        <f t="shared" si="2"/>
        <v>2.5024097742949065</v>
      </c>
      <c r="H34" s="779">
        <f t="shared" si="3"/>
        <v>97.967026776660887</v>
      </c>
      <c r="I34" s="780">
        <f t="shared" si="4"/>
        <v>2.0329732233391127</v>
      </c>
      <c r="J34" s="788"/>
      <c r="K34" s="1087"/>
      <c r="L34" s="1088"/>
      <c r="M34" s="1033"/>
      <c r="N34" s="1033"/>
      <c r="O34" s="772"/>
      <c r="P34" s="824"/>
      <c r="U34" s="277">
        <v>4</v>
      </c>
      <c r="V34" s="155">
        <v>4.76</v>
      </c>
      <c r="W34" s="279">
        <v>0</v>
      </c>
      <c r="X34" s="280">
        <v>5</v>
      </c>
      <c r="Y34" s="280">
        <v>0</v>
      </c>
      <c r="Z34" s="281">
        <v>5</v>
      </c>
      <c r="AA34" s="280"/>
      <c r="AB34" s="281"/>
      <c r="AC34" s="283"/>
      <c r="AD34" s="283"/>
      <c r="AE34" s="284"/>
    </row>
    <row r="35" spans="1:31" ht="15" customHeight="1">
      <c r="A35" s="816"/>
      <c r="B35" s="753"/>
      <c r="C35" s="753"/>
      <c r="D35" s="775">
        <v>10</v>
      </c>
      <c r="E35" s="776">
        <v>2</v>
      </c>
      <c r="F35" s="783">
        <v>162.4</v>
      </c>
      <c r="G35" s="778">
        <f t="shared" si="2"/>
        <v>2.0329732233391336</v>
      </c>
      <c r="H35" s="779">
        <f t="shared" si="3"/>
        <v>100.00000000000001</v>
      </c>
      <c r="I35" s="780">
        <f t="shared" si="4"/>
        <v>0</v>
      </c>
      <c r="J35" s="788"/>
      <c r="K35" s="1087"/>
      <c r="L35" s="1088"/>
      <c r="M35" s="787"/>
      <c r="N35" s="787"/>
      <c r="O35" s="772"/>
      <c r="P35" s="824"/>
      <c r="S35" s="159"/>
      <c r="U35" s="277">
        <v>8</v>
      </c>
      <c r="V35" s="155">
        <v>2.36</v>
      </c>
      <c r="W35" s="282"/>
      <c r="X35" s="280"/>
      <c r="Y35" s="280"/>
      <c r="Z35" s="281"/>
      <c r="AA35" s="282"/>
      <c r="AB35" s="283"/>
      <c r="AC35" s="283"/>
      <c r="AD35" s="283"/>
      <c r="AE35" s="284"/>
    </row>
    <row r="36" spans="1:31" ht="15" customHeight="1">
      <c r="A36" s="816"/>
      <c r="B36" s="753"/>
      <c r="C36" s="753"/>
      <c r="D36" s="775">
        <v>16</v>
      </c>
      <c r="E36" s="776">
        <v>1.19</v>
      </c>
      <c r="F36" s="783"/>
      <c r="G36" s="778"/>
      <c r="H36" s="869">
        <v>100</v>
      </c>
      <c r="I36" s="780"/>
      <c r="J36" s="788"/>
      <c r="K36" s="1087"/>
      <c r="L36" s="1088"/>
      <c r="M36" s="787"/>
      <c r="N36" s="787"/>
      <c r="O36" s="772"/>
      <c r="P36" s="824"/>
      <c r="S36" s="159"/>
      <c r="U36" s="277">
        <v>10</v>
      </c>
      <c r="V36" s="155">
        <v>2</v>
      </c>
      <c r="W36" s="282"/>
      <c r="X36" s="280"/>
      <c r="Y36" s="280"/>
      <c r="Z36" s="281"/>
      <c r="AA36" s="282"/>
      <c r="AB36" s="283"/>
      <c r="AC36" s="283"/>
      <c r="AD36" s="283"/>
      <c r="AE36" s="284"/>
    </row>
    <row r="37" spans="1:31" ht="15" customHeight="1">
      <c r="A37" s="816"/>
      <c r="B37" s="753"/>
      <c r="C37" s="753"/>
      <c r="D37" s="775">
        <v>30</v>
      </c>
      <c r="E37" s="776">
        <v>0.6</v>
      </c>
      <c r="F37" s="783"/>
      <c r="G37" s="778"/>
      <c r="H37" s="869">
        <v>100</v>
      </c>
      <c r="I37" s="780"/>
      <c r="J37" s="788"/>
      <c r="K37" s="1087"/>
      <c r="L37" s="1088"/>
      <c r="M37" s="787"/>
      <c r="N37" s="787"/>
      <c r="O37" s="772"/>
      <c r="P37" s="824"/>
      <c r="S37" s="159"/>
      <c r="U37" s="277">
        <v>16</v>
      </c>
      <c r="V37" s="155">
        <v>1.19</v>
      </c>
      <c r="W37" s="282"/>
      <c r="X37" s="280"/>
      <c r="Y37" s="280"/>
      <c r="Z37" s="281"/>
      <c r="AA37" s="282"/>
      <c r="AB37" s="283"/>
      <c r="AC37" s="283"/>
      <c r="AD37" s="283"/>
      <c r="AE37" s="284"/>
    </row>
    <row r="38" spans="1:31" ht="15" customHeight="1">
      <c r="A38" s="816"/>
      <c r="B38" s="753"/>
      <c r="C38" s="753"/>
      <c r="D38" s="775">
        <v>40</v>
      </c>
      <c r="E38" s="776">
        <v>0.42</v>
      </c>
      <c r="F38" s="783"/>
      <c r="G38" s="778"/>
      <c r="H38" s="869">
        <v>100</v>
      </c>
      <c r="I38" s="780"/>
      <c r="J38" s="788"/>
      <c r="K38" s="1087"/>
      <c r="L38" s="1088"/>
      <c r="M38" s="787"/>
      <c r="N38" s="787"/>
      <c r="O38" s="772"/>
      <c r="P38" s="824"/>
      <c r="S38" s="159">
        <f>SUM(F35:F41)</f>
        <v>162.4</v>
      </c>
      <c r="U38" s="277">
        <v>30</v>
      </c>
      <c r="V38" s="155">
        <v>0.6</v>
      </c>
      <c r="W38" s="282"/>
      <c r="X38" s="280"/>
      <c r="Y38" s="280"/>
      <c r="Z38" s="281"/>
      <c r="AA38" s="282"/>
      <c r="AB38" s="283"/>
      <c r="AC38" s="283"/>
      <c r="AD38" s="283"/>
      <c r="AE38" s="284"/>
    </row>
    <row r="39" spans="1:31" ht="15" customHeight="1">
      <c r="A39" s="816"/>
      <c r="B39" s="753"/>
      <c r="C39" s="753"/>
      <c r="D39" s="775">
        <v>50</v>
      </c>
      <c r="E39" s="776">
        <v>0.3</v>
      </c>
      <c r="F39" s="783"/>
      <c r="G39" s="778"/>
      <c r="H39" s="869">
        <v>100</v>
      </c>
      <c r="I39" s="780"/>
      <c r="J39" s="788"/>
      <c r="K39" s="1087"/>
      <c r="L39" s="1088"/>
      <c r="M39" s="787"/>
      <c r="N39" s="787"/>
      <c r="O39" s="772"/>
      <c r="P39" s="824"/>
      <c r="S39" s="159"/>
      <c r="U39" s="277">
        <v>40</v>
      </c>
      <c r="V39" s="155">
        <v>0.42</v>
      </c>
      <c r="W39" s="282"/>
      <c r="X39" s="280"/>
      <c r="Y39" s="280"/>
      <c r="Z39" s="281"/>
      <c r="AA39" s="282"/>
      <c r="AB39" s="283"/>
      <c r="AC39" s="283"/>
      <c r="AD39" s="283"/>
      <c r="AE39" s="284"/>
    </row>
    <row r="40" spans="1:31" ht="15" customHeight="1">
      <c r="A40" s="816"/>
      <c r="B40" s="753"/>
      <c r="C40" s="753"/>
      <c r="D40" s="775">
        <v>100</v>
      </c>
      <c r="E40" s="776">
        <v>0.14899999999999999</v>
      </c>
      <c r="F40" s="783"/>
      <c r="G40" s="778"/>
      <c r="H40" s="869">
        <v>100</v>
      </c>
      <c r="I40" s="780"/>
      <c r="J40" s="788"/>
      <c r="K40" s="1087"/>
      <c r="L40" s="1088"/>
      <c r="M40" s="787"/>
      <c r="N40" s="787"/>
      <c r="O40" s="772"/>
      <c r="P40" s="824"/>
      <c r="S40" s="159"/>
      <c r="U40" s="277">
        <v>50</v>
      </c>
      <c r="V40" s="155">
        <v>0.3</v>
      </c>
      <c r="W40" s="282"/>
      <c r="X40" s="280"/>
      <c r="Y40" s="280"/>
      <c r="Z40" s="281"/>
      <c r="AA40" s="282"/>
      <c r="AB40" s="283"/>
      <c r="AC40" s="283"/>
      <c r="AD40" s="283"/>
      <c r="AE40" s="284"/>
    </row>
    <row r="41" spans="1:31" ht="15" customHeight="1">
      <c r="A41" s="816"/>
      <c r="B41" s="753"/>
      <c r="C41" s="753"/>
      <c r="D41" s="775">
        <v>200</v>
      </c>
      <c r="E41" s="776">
        <v>7.3999999999999996E-2</v>
      </c>
      <c r="F41" s="783"/>
      <c r="G41" s="778"/>
      <c r="H41" s="869">
        <v>100</v>
      </c>
      <c r="I41" s="780"/>
      <c r="J41" s="788"/>
      <c r="K41" s="1087"/>
      <c r="L41" s="1088"/>
      <c r="M41" s="787"/>
      <c r="N41" s="787"/>
      <c r="O41" s="772"/>
      <c r="P41" s="824"/>
      <c r="S41" s="159"/>
      <c r="U41" s="277">
        <v>100</v>
      </c>
      <c r="V41" s="278">
        <v>0.14899999999999999</v>
      </c>
      <c r="W41" s="282"/>
      <c r="X41" s="280"/>
      <c r="Y41" s="280"/>
      <c r="Z41" s="281"/>
      <c r="AA41" s="282"/>
      <c r="AB41" s="283"/>
      <c r="AC41" s="283"/>
      <c r="AD41" s="283"/>
      <c r="AE41" s="284"/>
    </row>
    <row r="42" spans="1:31" ht="15" customHeight="1" thickBot="1">
      <c r="A42" s="816"/>
      <c r="B42" s="753"/>
      <c r="C42" s="753"/>
      <c r="D42" s="789" t="s">
        <v>60</v>
      </c>
      <c r="E42" s="789"/>
      <c r="F42" s="778"/>
      <c r="G42" s="778"/>
      <c r="H42" s="779"/>
      <c r="I42" s="780"/>
      <c r="J42" s="781"/>
      <c r="K42" s="1089"/>
      <c r="L42" s="1081"/>
      <c r="M42" s="787"/>
      <c r="N42" s="787"/>
      <c r="O42" s="772"/>
      <c r="P42" s="824"/>
      <c r="S42" s="159"/>
      <c r="U42" s="286">
        <v>200</v>
      </c>
      <c r="V42" s="287">
        <v>7.3999999999999996E-2</v>
      </c>
      <c r="W42" s="288"/>
      <c r="X42" s="289"/>
      <c r="Y42" s="289"/>
      <c r="Z42" s="290"/>
      <c r="AA42" s="288"/>
      <c r="AB42" s="291"/>
      <c r="AC42" s="291"/>
      <c r="AD42" s="291"/>
      <c r="AE42" s="292"/>
    </row>
    <row r="43" spans="1:31" ht="7.5" customHeight="1">
      <c r="A43" s="816"/>
      <c r="B43" s="753"/>
      <c r="C43" s="753"/>
      <c r="D43" s="753"/>
      <c r="E43" s="753"/>
      <c r="F43" s="753"/>
      <c r="G43" s="753"/>
      <c r="H43" s="753"/>
      <c r="I43" s="753"/>
      <c r="J43" s="753"/>
      <c r="K43" s="753"/>
      <c r="L43" s="753"/>
      <c r="M43" s="1033"/>
      <c r="N43" s="1033"/>
      <c r="O43" s="753"/>
      <c r="P43" s="815"/>
      <c r="R43" s="160"/>
      <c r="S43" s="159"/>
    </row>
    <row r="44" spans="1:31" ht="3.75" customHeight="1" thickBot="1">
      <c r="A44" s="825"/>
      <c r="B44" s="826"/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827"/>
    </row>
    <row r="45" spans="1:31" ht="15" customHeight="1">
      <c r="A45" s="790" t="s">
        <v>61</v>
      </c>
      <c r="B45" s="791"/>
      <c r="C45" s="792"/>
      <c r="D45" s="793" t="str">
        <f>+Sucs!G4</f>
        <v>GP</v>
      </c>
      <c r="E45" s="791"/>
      <c r="F45" s="839" t="s">
        <v>62</v>
      </c>
      <c r="G45" s="1344" t="s">
        <v>63</v>
      </c>
      <c r="H45" s="1345"/>
      <c r="I45" s="1339" t="s">
        <v>64</v>
      </c>
      <c r="J45" s="1340"/>
      <c r="K45" s="1341"/>
      <c r="L45" s="794"/>
      <c r="M45" s="795"/>
      <c r="N45" s="795"/>
      <c r="O45" s="792"/>
      <c r="P45" s="796"/>
      <c r="R45" s="161"/>
      <c r="S45" s="162"/>
    </row>
    <row r="46" spans="1:31" ht="15" customHeight="1" thickBot="1">
      <c r="A46" s="797" t="s">
        <v>65</v>
      </c>
      <c r="B46" s="798"/>
      <c r="C46" s="799"/>
      <c r="D46" s="800" t="s">
        <v>66</v>
      </c>
      <c r="E46" s="798"/>
      <c r="F46" s="840" t="s">
        <v>67</v>
      </c>
      <c r="G46" s="1342" t="s">
        <v>63</v>
      </c>
      <c r="H46" s="1343"/>
      <c r="I46" s="801"/>
      <c r="J46" s="799" t="s">
        <v>68</v>
      </c>
      <c r="K46" s="870">
        <f>+(H27+H29+H31+H33+H34+H36+H37+H39+H40)/100</f>
        <v>6.9680783145350071</v>
      </c>
      <c r="L46" s="802"/>
      <c r="M46" s="803"/>
      <c r="N46" s="803"/>
      <c r="O46" s="799"/>
      <c r="P46" s="804"/>
      <c r="R46" s="161"/>
      <c r="S46" s="162"/>
    </row>
    <row r="47" spans="1:31" ht="10.5" customHeight="1">
      <c r="A47" s="753"/>
      <c r="B47" s="753"/>
      <c r="C47" s="753"/>
      <c r="D47" s="753"/>
      <c r="E47" s="753"/>
      <c r="F47" s="753"/>
      <c r="G47" s="753"/>
      <c r="H47" s="753"/>
      <c r="I47" s="753"/>
      <c r="J47" s="753"/>
      <c r="K47" s="753"/>
      <c r="L47" s="753"/>
      <c r="M47" s="753"/>
      <c r="N47" s="753"/>
      <c r="O47" s="753"/>
      <c r="P47" s="753"/>
    </row>
    <row r="48" spans="1:31" ht="10.5" customHeight="1">
      <c r="A48" s="753"/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</row>
    <row r="49" spans="1:20" ht="10.5" customHeight="1">
      <c r="A49" s="753"/>
      <c r="B49" s="753"/>
      <c r="C49" s="753"/>
      <c r="D49" s="753"/>
      <c r="E49" s="753"/>
      <c r="F49" s="753"/>
      <c r="G49" s="753"/>
      <c r="H49" s="753"/>
      <c r="I49" s="753"/>
      <c r="J49" s="753"/>
      <c r="K49" s="753"/>
      <c r="L49" s="753"/>
      <c r="M49" s="753"/>
      <c r="N49" s="753"/>
      <c r="O49" s="753"/>
      <c r="P49" s="753"/>
    </row>
    <row r="50" spans="1:20" ht="10.5" customHeight="1">
      <c r="A50" s="753"/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3"/>
      <c r="O50" s="753"/>
      <c r="P50" s="753"/>
      <c r="R50" s="154" t="s">
        <v>69</v>
      </c>
    </row>
    <row r="51" spans="1:20" ht="10.5" customHeight="1">
      <c r="A51" s="753"/>
      <c r="B51" s="753"/>
      <c r="C51" s="753"/>
      <c r="D51" s="753"/>
      <c r="E51" s="753"/>
      <c r="F51" s="753"/>
      <c r="G51" s="753"/>
      <c r="H51" s="753"/>
      <c r="I51" s="753"/>
      <c r="J51" s="753"/>
      <c r="K51" s="753"/>
      <c r="L51" s="753"/>
      <c r="M51" s="753"/>
      <c r="N51" s="753"/>
      <c r="O51" s="753"/>
      <c r="P51" s="753"/>
      <c r="R51" s="1338" t="s">
        <v>70</v>
      </c>
      <c r="S51" s="1338"/>
    </row>
    <row r="52" spans="1:20" ht="10.5" customHeight="1">
      <c r="A52" s="753"/>
      <c r="B52" s="753"/>
      <c r="C52" s="753"/>
      <c r="D52" s="753"/>
      <c r="E52" s="753"/>
      <c r="F52" s="753"/>
      <c r="G52" s="753"/>
      <c r="H52" s="753"/>
      <c r="I52" s="753"/>
      <c r="J52" s="753"/>
      <c r="K52" s="753"/>
      <c r="L52" s="753"/>
      <c r="M52" s="753"/>
      <c r="N52" s="753"/>
      <c r="O52" s="753"/>
      <c r="P52" s="753"/>
      <c r="R52" s="157">
        <v>0</v>
      </c>
      <c r="S52" s="159">
        <v>10</v>
      </c>
    </row>
    <row r="53" spans="1:20" ht="10.5" customHeight="1">
      <c r="A53" s="753"/>
      <c r="B53" s="753"/>
      <c r="C53" s="753"/>
      <c r="D53" s="753"/>
      <c r="E53" s="753"/>
      <c r="F53" s="753"/>
      <c r="G53" s="753"/>
      <c r="H53" s="753"/>
      <c r="I53" s="753"/>
      <c r="J53" s="753"/>
      <c r="K53" s="753"/>
      <c r="L53" s="753"/>
      <c r="M53" s="753"/>
      <c r="N53" s="753"/>
      <c r="O53" s="753"/>
      <c r="P53" s="753"/>
      <c r="R53" s="163">
        <f>+R52</f>
        <v>0</v>
      </c>
      <c r="S53" s="159">
        <v>10</v>
      </c>
    </row>
    <row r="54" spans="1:20" ht="10.5" customHeight="1">
      <c r="A54" s="753"/>
      <c r="B54" s="753"/>
      <c r="C54" s="753"/>
      <c r="D54" s="753"/>
      <c r="E54" s="753"/>
      <c r="F54" s="753"/>
      <c r="G54" s="753"/>
      <c r="H54" s="753"/>
      <c r="I54" s="753"/>
      <c r="J54" s="753"/>
      <c r="K54" s="753"/>
      <c r="L54" s="753"/>
      <c r="M54" s="753"/>
      <c r="N54" s="753"/>
      <c r="O54" s="753"/>
      <c r="P54" s="753"/>
      <c r="R54" s="164">
        <f>+R53</f>
        <v>0</v>
      </c>
      <c r="S54" s="157">
        <v>0</v>
      </c>
    </row>
    <row r="55" spans="1:20" ht="10.5" customHeight="1">
      <c r="A55" s="753"/>
      <c r="B55" s="753"/>
      <c r="C55" s="753"/>
      <c r="D55" s="753"/>
      <c r="E55" s="753"/>
      <c r="F55" s="753"/>
      <c r="G55" s="753"/>
      <c r="H55" s="753"/>
      <c r="I55" s="753"/>
      <c r="J55" s="753"/>
      <c r="K55" s="753"/>
      <c r="L55" s="753"/>
      <c r="M55" s="753"/>
      <c r="N55" s="753"/>
      <c r="O55" s="753"/>
      <c r="P55" s="753"/>
      <c r="R55" s="157"/>
      <c r="S55" s="157"/>
      <c r="T55" s="149" t="s">
        <v>71</v>
      </c>
    </row>
    <row r="56" spans="1:20" ht="10.5" customHeight="1">
      <c r="A56" s="753"/>
      <c r="B56" s="753"/>
      <c r="C56" s="753"/>
      <c r="D56" s="753"/>
      <c r="E56" s="753"/>
      <c r="F56" s="753"/>
      <c r="G56" s="753"/>
      <c r="H56" s="753"/>
      <c r="I56" s="753"/>
      <c r="J56" s="753"/>
      <c r="K56" s="753"/>
      <c r="L56" s="753"/>
      <c r="M56" s="753"/>
      <c r="N56" s="753"/>
      <c r="O56" s="753"/>
      <c r="P56" s="753"/>
      <c r="R56" s="1338" t="s">
        <v>72</v>
      </c>
      <c r="S56" s="1338"/>
      <c r="T56" s="160" t="str">
        <f>IF(R54=0,"---",R64/R54)</f>
        <v>---</v>
      </c>
    </row>
    <row r="57" spans="1:20" ht="10.5" customHeight="1">
      <c r="A57" s="753"/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753"/>
      <c r="O57" s="753"/>
      <c r="P57" s="753"/>
      <c r="R57" s="157">
        <v>0</v>
      </c>
      <c r="S57" s="159">
        <v>30</v>
      </c>
    </row>
    <row r="58" spans="1:20" ht="10.5" customHeight="1">
      <c r="A58" s="753"/>
      <c r="B58" s="753"/>
      <c r="C58" s="753"/>
      <c r="D58" s="753"/>
      <c r="E58" s="753"/>
      <c r="F58" s="753"/>
      <c r="G58" s="753"/>
      <c r="H58" s="753"/>
      <c r="I58" s="753"/>
      <c r="J58" s="753"/>
      <c r="K58" s="753"/>
      <c r="L58" s="753"/>
      <c r="M58" s="753"/>
      <c r="N58" s="753"/>
      <c r="O58" s="753"/>
      <c r="P58" s="753"/>
      <c r="R58" s="163">
        <f>+R57</f>
        <v>0</v>
      </c>
      <c r="S58" s="159">
        <v>30</v>
      </c>
      <c r="T58" s="149" t="s">
        <v>73</v>
      </c>
    </row>
    <row r="59" spans="1:20" ht="10.5" customHeight="1">
      <c r="A59" s="756"/>
      <c r="B59" s="756"/>
      <c r="C59" s="756"/>
      <c r="D59" s="753"/>
      <c r="E59" s="753"/>
      <c r="F59" s="753"/>
      <c r="G59" s="753"/>
      <c r="H59" s="753"/>
      <c r="I59" s="753"/>
      <c r="J59" s="753"/>
      <c r="K59" s="753"/>
      <c r="L59" s="753"/>
      <c r="M59" s="753"/>
      <c r="N59" s="753"/>
      <c r="O59" s="753"/>
      <c r="P59" s="753"/>
      <c r="R59" s="164">
        <f>+R58</f>
        <v>0</v>
      </c>
      <c r="S59" s="157">
        <v>0</v>
      </c>
      <c r="T59" s="160" t="str">
        <f>+IF(AND(R54=0,R64=0),"---",R59*R59/R54/R64)</f>
        <v>---</v>
      </c>
    </row>
    <row r="60" spans="1:20" ht="10.5" customHeight="1">
      <c r="A60" s="756"/>
      <c r="B60" s="756"/>
      <c r="C60" s="756"/>
      <c r="D60" s="753"/>
      <c r="E60" s="753"/>
      <c r="F60" s="753"/>
      <c r="G60" s="753"/>
      <c r="H60" s="753"/>
      <c r="I60" s="753"/>
      <c r="J60" s="753"/>
      <c r="K60" s="753"/>
      <c r="L60" s="753"/>
      <c r="M60" s="753"/>
      <c r="N60" s="753"/>
      <c r="O60" s="753"/>
      <c r="P60" s="753"/>
    </row>
    <row r="61" spans="1:20" ht="10.5" customHeight="1">
      <c r="A61" s="756"/>
      <c r="B61" s="756"/>
      <c r="C61" s="756"/>
      <c r="D61" s="753"/>
      <c r="E61" s="753"/>
      <c r="F61" s="753"/>
      <c r="G61" s="753"/>
      <c r="H61" s="753"/>
      <c r="I61" s="753"/>
      <c r="J61" s="753"/>
      <c r="K61" s="753"/>
      <c r="L61" s="753"/>
      <c r="M61" s="753"/>
      <c r="N61" s="753"/>
      <c r="O61" s="753"/>
      <c r="P61" s="753"/>
      <c r="R61" s="1338" t="s">
        <v>74</v>
      </c>
      <c r="S61" s="1338"/>
    </row>
    <row r="62" spans="1:20" ht="10.5" customHeight="1">
      <c r="A62" s="756"/>
      <c r="B62" s="756"/>
      <c r="C62" s="756"/>
      <c r="D62" s="753"/>
      <c r="E62" s="753"/>
      <c r="F62" s="753"/>
      <c r="G62" s="753"/>
      <c r="H62" s="753"/>
      <c r="I62" s="753"/>
      <c r="J62" s="753"/>
      <c r="K62" s="753"/>
      <c r="L62" s="753"/>
      <c r="M62" s="753"/>
      <c r="N62" s="753"/>
      <c r="O62" s="753"/>
      <c r="P62" s="753"/>
      <c r="R62" s="157">
        <v>0</v>
      </c>
      <c r="S62" s="159">
        <v>60</v>
      </c>
    </row>
    <row r="63" spans="1:20" ht="10.5" customHeight="1">
      <c r="A63" s="756"/>
      <c r="B63" s="756"/>
      <c r="C63" s="756"/>
      <c r="D63" s="753"/>
      <c r="E63" s="753"/>
      <c r="F63" s="753"/>
      <c r="G63" s="753"/>
      <c r="H63" s="753"/>
      <c r="I63" s="753"/>
      <c r="J63" s="753"/>
      <c r="K63" s="753"/>
      <c r="L63" s="753"/>
      <c r="M63" s="753"/>
      <c r="N63" s="753"/>
      <c r="O63" s="753"/>
      <c r="P63" s="753"/>
      <c r="R63" s="163">
        <f>+R62</f>
        <v>0</v>
      </c>
      <c r="S63" s="159">
        <v>60</v>
      </c>
    </row>
    <row r="64" spans="1:20" ht="10.5" customHeight="1">
      <c r="A64" s="756"/>
      <c r="B64" s="756"/>
      <c r="C64" s="756"/>
      <c r="D64" s="753"/>
      <c r="E64" s="753"/>
      <c r="F64" s="753"/>
      <c r="G64" s="753"/>
      <c r="H64" s="753"/>
      <c r="I64" s="753"/>
      <c r="J64" s="753"/>
      <c r="K64" s="753"/>
      <c r="L64" s="753"/>
      <c r="M64" s="753"/>
      <c r="N64" s="753"/>
      <c r="O64" s="753"/>
      <c r="P64" s="753"/>
      <c r="R64" s="164">
        <f>+R63</f>
        <v>0</v>
      </c>
      <c r="S64" s="157">
        <v>0</v>
      </c>
    </row>
    <row r="65" spans="1:16" ht="10.5" customHeight="1">
      <c r="A65" s="753"/>
      <c r="B65" s="756"/>
      <c r="C65" s="756"/>
      <c r="D65" s="753"/>
      <c r="E65" s="753"/>
      <c r="F65" s="753"/>
      <c r="G65" s="753"/>
      <c r="H65" s="753"/>
      <c r="I65" s="753"/>
      <c r="J65" s="753"/>
      <c r="K65" s="753"/>
      <c r="L65" s="753"/>
      <c r="M65" s="753"/>
      <c r="N65" s="753"/>
      <c r="O65" s="753"/>
      <c r="P65" s="753"/>
    </row>
    <row r="66" spans="1:16" ht="10.5" customHeight="1">
      <c r="A66" s="753"/>
      <c r="B66" s="753"/>
      <c r="C66" s="756"/>
      <c r="D66" s="753"/>
      <c r="E66" s="753"/>
      <c r="F66" s="753"/>
      <c r="G66" s="753"/>
      <c r="H66" s="753"/>
      <c r="I66" s="753"/>
      <c r="J66" s="753"/>
      <c r="K66" s="753"/>
      <c r="L66" s="753"/>
      <c r="M66" s="753"/>
      <c r="N66" s="753"/>
      <c r="O66" s="753"/>
      <c r="P66" s="753"/>
    </row>
    <row r="67" spans="1:16" ht="10.5" customHeight="1">
      <c r="A67" s="753"/>
      <c r="B67" s="753"/>
      <c r="C67" s="756"/>
      <c r="D67" s="753"/>
      <c r="E67" s="753"/>
      <c r="F67" s="753"/>
      <c r="G67" s="753"/>
      <c r="H67" s="753"/>
      <c r="I67" s="753"/>
      <c r="J67" s="753"/>
      <c r="K67" s="753"/>
      <c r="L67" s="753"/>
      <c r="M67" s="753"/>
      <c r="N67" s="753"/>
      <c r="O67" s="753"/>
      <c r="P67" s="753"/>
    </row>
    <row r="68" spans="1:16" ht="10.5" customHeight="1">
      <c r="A68" s="753"/>
      <c r="B68" s="753"/>
      <c r="C68" s="756"/>
      <c r="D68" s="753"/>
      <c r="E68" s="753"/>
      <c r="F68" s="753"/>
      <c r="G68" s="753"/>
      <c r="H68" s="753"/>
      <c r="I68" s="753"/>
      <c r="J68" s="753"/>
      <c r="K68" s="753"/>
      <c r="L68" s="753"/>
      <c r="M68" s="753"/>
      <c r="N68" s="753"/>
      <c r="O68" s="753"/>
      <c r="P68" s="753"/>
    </row>
    <row r="69" spans="1:16" ht="10.5" customHeight="1">
      <c r="A69" s="753"/>
      <c r="B69" s="753"/>
      <c r="C69" s="756"/>
      <c r="D69" s="753"/>
      <c r="E69" s="753"/>
      <c r="F69" s="753"/>
      <c r="G69" s="753"/>
      <c r="H69" s="753"/>
      <c r="I69" s="753"/>
      <c r="J69" s="753"/>
      <c r="K69" s="753"/>
      <c r="L69" s="753"/>
      <c r="M69" s="753"/>
      <c r="N69" s="753"/>
      <c r="O69" s="753"/>
      <c r="P69" s="753"/>
    </row>
    <row r="70" spans="1:16" ht="10.5" customHeight="1">
      <c r="A70" s="753"/>
      <c r="B70" s="753"/>
      <c r="C70" s="756"/>
      <c r="D70" s="753"/>
      <c r="E70" s="753"/>
      <c r="F70" s="753"/>
      <c r="G70" s="753"/>
      <c r="H70" s="753"/>
      <c r="I70" s="753"/>
      <c r="J70" s="753"/>
      <c r="K70" s="753"/>
      <c r="L70" s="753"/>
      <c r="M70" s="753"/>
      <c r="N70" s="753"/>
      <c r="O70" s="753"/>
      <c r="P70" s="753"/>
    </row>
    <row r="71" spans="1:16" ht="10.5" customHeight="1">
      <c r="A71" s="756" t="s">
        <v>75</v>
      </c>
      <c r="B71" s="753"/>
      <c r="C71" s="753"/>
      <c r="D71" s="805" t="s">
        <v>76</v>
      </c>
      <c r="E71" s="805"/>
      <c r="F71" s="806"/>
      <c r="G71" s="806"/>
      <c r="H71" s="805"/>
      <c r="I71" s="806"/>
      <c r="J71" s="805"/>
      <c r="K71" s="806"/>
      <c r="L71" s="805"/>
      <c r="M71" s="805"/>
      <c r="N71" s="805"/>
      <c r="O71" s="805"/>
      <c r="P71" s="805"/>
    </row>
    <row r="72" spans="1:16" ht="10.5" customHeight="1">
      <c r="A72" s="753"/>
      <c r="B72" s="753"/>
      <c r="C72" s="753"/>
      <c r="D72" s="807"/>
      <c r="E72" s="807"/>
      <c r="F72" s="808"/>
      <c r="G72" s="807"/>
      <c r="H72" s="807"/>
      <c r="I72" s="807"/>
      <c r="J72" s="807"/>
      <c r="K72" s="808"/>
      <c r="L72" s="807"/>
      <c r="M72" s="807"/>
      <c r="N72" s="807"/>
      <c r="O72" s="807"/>
      <c r="P72" s="807"/>
    </row>
    <row r="73" spans="1:16" ht="10.5" customHeight="1">
      <c r="A73" s="753"/>
      <c r="B73" s="753"/>
      <c r="C73" s="756"/>
      <c r="D73" s="807"/>
      <c r="E73" s="807"/>
      <c r="F73" s="808"/>
      <c r="G73" s="807"/>
      <c r="H73" s="807"/>
      <c r="I73" s="807"/>
      <c r="J73" s="807"/>
      <c r="K73" s="808"/>
      <c r="L73" s="807"/>
      <c r="M73" s="809"/>
      <c r="N73" s="809"/>
      <c r="O73" s="807"/>
      <c r="P73" s="807"/>
    </row>
    <row r="74" spans="1:16" ht="10.5" customHeight="1">
      <c r="D74" s="151"/>
    </row>
    <row r="75" spans="1:16" ht="10.5" customHeight="1">
      <c r="D75" s="151"/>
    </row>
    <row r="76" spans="1:16" ht="10.5" customHeight="1">
      <c r="D76" s="151"/>
    </row>
    <row r="77" spans="1:16" ht="10.5" customHeight="1">
      <c r="D77" s="151"/>
    </row>
    <row r="78" spans="1:16" ht="10.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</row>
  </sheetData>
  <mergeCells count="22">
    <mergeCell ref="F16:H16"/>
    <mergeCell ref="A7:P7"/>
    <mergeCell ref="O10:P10"/>
    <mergeCell ref="O11:P11"/>
    <mergeCell ref="O12:P12"/>
    <mergeCell ref="O13:P13"/>
    <mergeCell ref="A8:P8"/>
    <mergeCell ref="R56:S56"/>
    <mergeCell ref="R61:S61"/>
    <mergeCell ref="R51:S51"/>
    <mergeCell ref="I45:K45"/>
    <mergeCell ref="G46:H46"/>
    <mergeCell ref="G45:H45"/>
    <mergeCell ref="J22:L22"/>
    <mergeCell ref="J23:L23"/>
    <mergeCell ref="D18:E18"/>
    <mergeCell ref="D20:E20"/>
    <mergeCell ref="AC23:AD23"/>
    <mergeCell ref="U23:V24"/>
    <mergeCell ref="W23:X23"/>
    <mergeCell ref="Y23:Z23"/>
    <mergeCell ref="AA23:AB23"/>
  </mergeCells>
  <phoneticPr fontId="0" type="noConversion"/>
  <printOptions horizontalCentered="1" verticalCentered="1"/>
  <pageMargins left="0.78740157480314965" right="0.78740157480314965" top="0.39370078740157483" bottom="0.39370078740157483" header="0" footer="0"/>
  <pageSetup paperSize="9" scale="81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view="pageBreakPreview" topLeftCell="A25" zoomScaleNormal="100" zoomScaleSheetLayoutView="100" workbookViewId="0">
      <selection activeCell="A8" sqref="A8:I8"/>
    </sheetView>
  </sheetViews>
  <sheetFormatPr baseColWidth="10" defaultColWidth="11.44140625" defaultRowHeight="13.8"/>
  <cols>
    <col min="1" max="1" width="2.33203125" style="587" customWidth="1"/>
    <col min="2" max="2" width="8.5546875" style="587" customWidth="1"/>
    <col min="3" max="3" width="1.88671875" style="587" customWidth="1"/>
    <col min="4" max="4" width="26.44140625" style="587" customWidth="1"/>
    <col min="5" max="6" width="14.6640625" style="587" customWidth="1"/>
    <col min="7" max="7" width="15.88671875" style="587" customWidth="1"/>
    <col min="8" max="8" width="1.5546875" style="587" customWidth="1"/>
    <col min="9" max="9" width="13.6640625" style="587" customWidth="1"/>
    <col min="10" max="16384" width="11.44140625" style="587"/>
  </cols>
  <sheetData>
    <row r="1" spans="1:14" ht="15.75" customHeight="1" thickTop="1">
      <c r="A1" s="698"/>
      <c r="B1" s="699"/>
      <c r="C1" s="699"/>
      <c r="D1" s="699"/>
      <c r="E1" s="699"/>
      <c r="F1" s="699"/>
      <c r="G1" s="699"/>
      <c r="H1" s="699"/>
      <c r="I1" s="700"/>
      <c r="J1" s="701"/>
      <c r="L1" s="702"/>
    </row>
    <row r="2" spans="1:14" ht="15.75" customHeight="1">
      <c r="A2" s="703"/>
      <c r="B2" s="704"/>
      <c r="C2" s="704"/>
      <c r="D2" s="704"/>
      <c r="E2" s="704"/>
      <c r="F2" s="704"/>
      <c r="G2" s="704"/>
      <c r="H2" s="704"/>
      <c r="I2" s="705"/>
      <c r="J2" s="706"/>
      <c r="L2" s="707"/>
    </row>
    <row r="3" spans="1:14" ht="15.75" customHeight="1">
      <c r="A3" s="708"/>
      <c r="E3" s="1387"/>
      <c r="F3" s="1387"/>
      <c r="G3" s="1387"/>
      <c r="H3" s="1387"/>
      <c r="I3" s="1388"/>
      <c r="J3" s="706"/>
      <c r="L3" s="706"/>
    </row>
    <row r="4" spans="1:14" ht="15.75" customHeight="1">
      <c r="A4" s="708"/>
      <c r="B4" s="709"/>
      <c r="E4" s="710"/>
      <c r="F4" s="710"/>
      <c r="G4" s="710"/>
      <c r="H4" s="710"/>
      <c r="I4" s="711"/>
      <c r="J4" s="712"/>
    </row>
    <row r="5" spans="1:14" ht="15.75" customHeight="1">
      <c r="A5" s="713"/>
      <c r="D5" s="714"/>
      <c r="E5" s="714"/>
      <c r="F5" s="714"/>
      <c r="G5" s="714"/>
      <c r="H5" s="714"/>
      <c r="I5" s="715"/>
      <c r="J5" s="714"/>
      <c r="K5" s="716"/>
    </row>
    <row r="6" spans="1:14" ht="15.75" customHeight="1" thickBot="1">
      <c r="A6" s="717"/>
      <c r="B6" s="718"/>
      <c r="C6" s="718"/>
      <c r="D6" s="718"/>
      <c r="E6" s="718"/>
      <c r="F6" s="718"/>
      <c r="G6" s="718"/>
      <c r="H6" s="718"/>
      <c r="I6" s="719"/>
      <c r="J6" s="686"/>
    </row>
    <row r="7" spans="1:14" ht="24" customHeight="1" thickTop="1">
      <c r="A7" s="1389" t="s">
        <v>77</v>
      </c>
      <c r="B7" s="1390"/>
      <c r="C7" s="1390"/>
      <c r="D7" s="1390"/>
      <c r="E7" s="1390"/>
      <c r="F7" s="1390"/>
      <c r="G7" s="1390"/>
      <c r="H7" s="1390"/>
      <c r="I7" s="1391"/>
      <c r="J7" s="720"/>
      <c r="K7" s="720"/>
      <c r="L7" s="720"/>
      <c r="M7" s="720"/>
      <c r="N7" s="720"/>
    </row>
    <row r="8" spans="1:14" ht="24" customHeight="1">
      <c r="A8" s="1358" t="s">
        <v>78</v>
      </c>
      <c r="B8" s="1359"/>
      <c r="C8" s="1359"/>
      <c r="D8" s="1359"/>
      <c r="E8" s="1359"/>
      <c r="F8" s="1359"/>
      <c r="G8" s="1359"/>
      <c r="H8" s="1359"/>
      <c r="I8" s="1360"/>
      <c r="J8" s="720"/>
      <c r="K8" s="720"/>
      <c r="L8" s="720"/>
      <c r="M8" s="720"/>
      <c r="N8" s="720"/>
    </row>
    <row r="9" spans="1:14" ht="10.5" customHeight="1">
      <c r="A9" s="1090"/>
      <c r="B9" s="1091"/>
      <c r="C9" s="1091"/>
      <c r="D9" s="1091"/>
      <c r="E9" s="1091"/>
      <c r="F9" s="1091"/>
      <c r="G9" s="1091"/>
      <c r="H9" s="1091"/>
      <c r="I9" s="1092"/>
      <c r="J9" s="720"/>
      <c r="K9" s="720"/>
      <c r="L9" s="720"/>
      <c r="M9" s="720"/>
      <c r="N9" s="720"/>
    </row>
    <row r="10" spans="1:14" ht="17.100000000000001" customHeight="1">
      <c r="A10" s="647" t="s">
        <v>2</v>
      </c>
      <c r="B10" s="667"/>
      <c r="C10" s="721" t="s">
        <v>3</v>
      </c>
      <c r="D10" s="659" t="str">
        <f>+Gran!C9</f>
        <v>CAME Contratistas y servicios generales S.A.</v>
      </c>
      <c r="E10" s="646"/>
      <c r="F10" s="676"/>
      <c r="G10" s="646" t="s">
        <v>79</v>
      </c>
      <c r="H10" s="648" t="s">
        <v>3</v>
      </c>
      <c r="I10" s="722" t="s">
        <v>80</v>
      </c>
      <c r="J10" s="668"/>
    </row>
    <row r="11" spans="1:14" ht="17.100000000000001" customHeight="1">
      <c r="A11" s="657" t="s">
        <v>5</v>
      </c>
      <c r="B11" s="667"/>
      <c r="C11" s="721" t="s">
        <v>3</v>
      </c>
      <c r="D11" s="656" t="str">
        <f>+Gran!C10</f>
        <v>Mejoramiento de la Carretera JU-1029 tramo PE 22 Pachachaca -Yauli</v>
      </c>
      <c r="E11" s="670"/>
      <c r="F11" s="723"/>
      <c r="G11" s="646" t="s">
        <v>81</v>
      </c>
      <c r="H11" s="648" t="s">
        <v>3</v>
      </c>
      <c r="I11" s="724"/>
      <c r="J11" s="672"/>
    </row>
    <row r="12" spans="1:14" ht="17.100000000000001" customHeight="1">
      <c r="A12" s="647" t="s">
        <v>11</v>
      </c>
      <c r="B12" s="667"/>
      <c r="C12" s="721" t="s">
        <v>3</v>
      </c>
      <c r="D12" s="653" t="str">
        <f>+Gran!C11</f>
        <v>Distrito de Yauli - Junin</v>
      </c>
      <c r="E12" s="667"/>
      <c r="F12" s="676"/>
      <c r="G12" s="646" t="s">
        <v>82</v>
      </c>
      <c r="H12" s="648" t="s">
        <v>3</v>
      </c>
      <c r="I12" s="725">
        <f>+Gran!O12</f>
        <v>41876</v>
      </c>
      <c r="J12" s="650"/>
    </row>
    <row r="13" spans="1:14" ht="17.100000000000001" customHeight="1">
      <c r="A13" s="647" t="str">
        <f>+Gran!A12</f>
        <v xml:space="preserve">Cantera </v>
      </c>
      <c r="B13" s="667"/>
      <c r="C13" s="721" t="s">
        <v>3</v>
      </c>
      <c r="D13" s="868" t="str">
        <f>+Gran!C12</f>
        <v>Agregados GMC S.R.L. (Rio Yauli - Km. 5+700)</v>
      </c>
      <c r="E13" s="669"/>
      <c r="F13" s="723"/>
      <c r="G13" s="646" t="s">
        <v>83</v>
      </c>
      <c r="H13" s="648" t="s">
        <v>3</v>
      </c>
      <c r="I13" s="726" t="str">
        <f>+Gran!O13</f>
        <v>F.L.G.</v>
      </c>
      <c r="J13" s="668"/>
    </row>
    <row r="14" spans="1:14" ht="17.100000000000001" customHeight="1">
      <c r="A14" s="647" t="s">
        <v>84</v>
      </c>
      <c r="B14" s="667"/>
      <c r="C14" s="727" t="s">
        <v>3</v>
      </c>
      <c r="D14" s="674" t="str">
        <f>+Gran!C13</f>
        <v>Grava para concreto</v>
      </c>
      <c r="E14" s="669"/>
      <c r="F14" s="728"/>
      <c r="G14" s="666"/>
      <c r="H14" s="666"/>
      <c r="I14" s="677"/>
      <c r="J14" s="686"/>
    </row>
    <row r="15" spans="1:14" ht="17.100000000000001" customHeight="1">
      <c r="A15" s="1392"/>
      <c r="B15" s="1393"/>
      <c r="C15" s="1393"/>
      <c r="D15" s="1393"/>
      <c r="E15" s="1393"/>
      <c r="F15" s="1393"/>
      <c r="G15" s="1393"/>
      <c r="H15" s="1393"/>
      <c r="I15" s="1394"/>
      <c r="J15" s="681"/>
    </row>
    <row r="16" spans="1:14" ht="18" customHeight="1">
      <c r="A16" s="1395" t="s">
        <v>85</v>
      </c>
      <c r="B16" s="1396"/>
      <c r="C16" s="1396"/>
      <c r="D16" s="1396"/>
      <c r="E16" s="1396"/>
      <c r="F16" s="1396"/>
      <c r="G16" s="1396"/>
      <c r="H16" s="1396"/>
      <c r="I16" s="1397"/>
    </row>
    <row r="17" spans="1:9" ht="15.9" customHeight="1">
      <c r="A17" s="1093"/>
      <c r="B17" s="1094"/>
      <c r="C17" s="1094"/>
      <c r="D17" s="1094"/>
      <c r="E17" s="1094"/>
      <c r="F17" s="1094"/>
      <c r="G17" s="1094"/>
      <c r="H17" s="1094"/>
      <c r="I17" s="1095"/>
    </row>
    <row r="18" spans="1:9" ht="15.9" customHeight="1">
      <c r="A18" s="729" t="s">
        <v>86</v>
      </c>
      <c r="B18" s="730" t="s">
        <v>87</v>
      </c>
      <c r="C18" s="610"/>
      <c r="D18" s="730"/>
      <c r="E18" s="842">
        <v>125.2</v>
      </c>
      <c r="F18" s="842">
        <v>125</v>
      </c>
      <c r="G18" s="843"/>
      <c r="H18" s="1374"/>
      <c r="I18" s="1375"/>
    </row>
    <row r="19" spans="1:9" ht="15.9" customHeight="1">
      <c r="A19" s="729" t="s">
        <v>88</v>
      </c>
      <c r="B19" s="730" t="s">
        <v>89</v>
      </c>
      <c r="C19" s="610"/>
      <c r="D19" s="730"/>
      <c r="E19" s="843">
        <v>660.5</v>
      </c>
      <c r="F19" s="843">
        <v>660</v>
      </c>
      <c r="G19" s="843"/>
      <c r="H19" s="1374"/>
      <c r="I19" s="1375"/>
    </row>
    <row r="20" spans="1:9" ht="15.9" customHeight="1">
      <c r="A20" s="729" t="s">
        <v>90</v>
      </c>
      <c r="B20" s="730" t="s">
        <v>91</v>
      </c>
      <c r="C20" s="610"/>
      <c r="D20" s="730"/>
      <c r="E20" s="843">
        <f>+E19+E18</f>
        <v>785.7</v>
      </c>
      <c r="F20" s="843">
        <f>+F19+F18</f>
        <v>785</v>
      </c>
      <c r="G20" s="843"/>
      <c r="H20" s="1374"/>
      <c r="I20" s="1375"/>
    </row>
    <row r="21" spans="1:9" ht="15.9" customHeight="1">
      <c r="A21" s="729" t="s">
        <v>92</v>
      </c>
      <c r="B21" s="730" t="s">
        <v>93</v>
      </c>
      <c r="C21" s="610"/>
      <c r="D21" s="730"/>
      <c r="E21" s="843">
        <v>733.4</v>
      </c>
      <c r="F21" s="843">
        <v>733</v>
      </c>
      <c r="G21" s="843"/>
      <c r="H21" s="1374"/>
      <c r="I21" s="1375"/>
    </row>
    <row r="22" spans="1:9" ht="15.9" customHeight="1">
      <c r="A22" s="729" t="s">
        <v>94</v>
      </c>
      <c r="B22" s="730" t="s">
        <v>95</v>
      </c>
      <c r="C22" s="610"/>
      <c r="D22" s="730"/>
      <c r="E22" s="844">
        <f>+E20-E21</f>
        <v>52.300000000000068</v>
      </c>
      <c r="F22" s="844">
        <f>+F20-F21</f>
        <v>52</v>
      </c>
      <c r="G22" s="845"/>
      <c r="H22" s="1376"/>
      <c r="I22" s="1377"/>
    </row>
    <row r="23" spans="1:9" ht="15.9" customHeight="1">
      <c r="A23" s="729" t="s">
        <v>96</v>
      </c>
      <c r="B23" s="730" t="s">
        <v>97</v>
      </c>
      <c r="C23" s="610"/>
      <c r="D23" s="730"/>
      <c r="E23" s="842">
        <v>118.6</v>
      </c>
      <c r="F23" s="842">
        <v>119</v>
      </c>
      <c r="G23" s="843"/>
      <c r="H23" s="1374"/>
      <c r="I23" s="1375"/>
    </row>
    <row r="24" spans="1:9" ht="15.9" customHeight="1">
      <c r="A24" s="729" t="s">
        <v>98</v>
      </c>
      <c r="B24" s="730" t="s">
        <v>99</v>
      </c>
      <c r="C24" s="610"/>
      <c r="D24" s="730"/>
      <c r="E24" s="846">
        <f>+E22-(E18-E23)</f>
        <v>45.70000000000006</v>
      </c>
      <c r="F24" s="846">
        <f>+F22-(F18-F23)</f>
        <v>46</v>
      </c>
      <c r="G24" s="847"/>
      <c r="H24" s="1378" t="s">
        <v>100</v>
      </c>
      <c r="I24" s="1379"/>
    </row>
    <row r="25" spans="1:9" ht="15.9" customHeight="1">
      <c r="A25" s="731"/>
      <c r="B25" s="730" t="s">
        <v>101</v>
      </c>
      <c r="C25" s="610"/>
      <c r="D25" s="730"/>
      <c r="E25" s="848">
        <f>+E23/E22</f>
        <v>2.2676864244741841</v>
      </c>
      <c r="F25" s="848">
        <f>+F23/F22</f>
        <v>2.2884615384615383</v>
      </c>
      <c r="G25" s="848"/>
      <c r="H25" s="1380">
        <f ca="1">+AVERAGE(D25:H25)</f>
        <v>2.2780739814678612</v>
      </c>
      <c r="I25" s="1381"/>
    </row>
    <row r="26" spans="1:9" ht="15.9" customHeight="1">
      <c r="A26" s="731"/>
      <c r="B26" s="730" t="s">
        <v>102</v>
      </c>
      <c r="C26" s="610"/>
      <c r="D26" s="730"/>
      <c r="E26" s="848">
        <f>+E18/E22</f>
        <v>2.3938814531548727</v>
      </c>
      <c r="F26" s="848">
        <f>+F18/F22</f>
        <v>2.4038461538461537</v>
      </c>
      <c r="G26" s="848"/>
      <c r="H26" s="1380">
        <f ca="1">+AVERAGE(D26:H26)</f>
        <v>2.3988638035005132</v>
      </c>
      <c r="I26" s="1381"/>
    </row>
    <row r="27" spans="1:9" ht="15.9" customHeight="1">
      <c r="A27" s="731"/>
      <c r="B27" s="730" t="s">
        <v>103</v>
      </c>
      <c r="C27" s="610"/>
      <c r="D27" s="730"/>
      <c r="E27" s="848">
        <f>+E23/E24</f>
        <v>2.5951859956236287</v>
      </c>
      <c r="F27" s="848">
        <f>+F23/F24</f>
        <v>2.5869565217391304</v>
      </c>
      <c r="G27" s="848"/>
      <c r="H27" s="1380">
        <f ca="1">+AVERAGE(D27:H27)</f>
        <v>2.5910712586813798</v>
      </c>
      <c r="I27" s="1381"/>
    </row>
    <row r="28" spans="1:9" ht="15.9" customHeight="1">
      <c r="A28" s="731"/>
      <c r="B28" s="730" t="s">
        <v>104</v>
      </c>
      <c r="C28" s="610"/>
      <c r="D28" s="730"/>
      <c r="E28" s="846">
        <f>((E18-E23)/E23)*100</f>
        <v>5.5649241146711708</v>
      </c>
      <c r="F28" s="846">
        <f>((F18-F23)/F23)*100</f>
        <v>5.0420168067226889</v>
      </c>
      <c r="G28" s="848"/>
      <c r="H28" s="1382">
        <f ca="1">+AVERAGE(D28:H28)</f>
        <v>5.3034704606969303</v>
      </c>
      <c r="I28" s="1383"/>
    </row>
    <row r="29" spans="1:9" ht="15.9" customHeight="1">
      <c r="A29" s="732"/>
      <c r="B29" s="693"/>
      <c r="C29" s="693"/>
      <c r="D29" s="693"/>
      <c r="E29" s="693"/>
      <c r="F29" s="693"/>
      <c r="G29" s="693"/>
      <c r="H29" s="693"/>
      <c r="I29" s="695"/>
    </row>
    <row r="30" spans="1:9" ht="15.9" customHeight="1">
      <c r="A30" s="1384" t="s">
        <v>105</v>
      </c>
      <c r="B30" s="1385"/>
      <c r="C30" s="1385"/>
      <c r="D30" s="1385"/>
      <c r="E30" s="1385"/>
      <c r="F30" s="1385"/>
      <c r="G30" s="1385"/>
      <c r="H30" s="1385"/>
      <c r="I30" s="1386"/>
    </row>
    <row r="31" spans="1:9" ht="15.9" customHeight="1">
      <c r="A31" s="1093"/>
      <c r="B31" s="1094"/>
      <c r="C31" s="1094"/>
      <c r="D31" s="1094"/>
      <c r="E31" s="1094"/>
      <c r="F31" s="1094"/>
      <c r="G31" s="1094"/>
      <c r="H31" s="1094"/>
      <c r="I31" s="1095"/>
    </row>
    <row r="32" spans="1:9" ht="15.9" customHeight="1">
      <c r="A32" s="729" t="s">
        <v>86</v>
      </c>
      <c r="B32" s="730" t="s">
        <v>106</v>
      </c>
      <c r="C32" s="610"/>
      <c r="D32" s="730"/>
      <c r="E32" s="849">
        <v>848.3</v>
      </c>
      <c r="F32" s="850"/>
      <c r="G32" s="849"/>
      <c r="H32" s="1366"/>
      <c r="I32" s="1367"/>
    </row>
    <row r="33" spans="1:9" ht="15.9" customHeight="1">
      <c r="A33" s="729" t="s">
        <v>88</v>
      </c>
      <c r="B33" s="730" t="s">
        <v>107</v>
      </c>
      <c r="C33" s="610"/>
      <c r="D33" s="730"/>
      <c r="E33" s="850">
        <v>531.1</v>
      </c>
      <c r="F33" s="850"/>
      <c r="G33" s="849"/>
      <c r="H33" s="1366"/>
      <c r="I33" s="1367"/>
    </row>
    <row r="34" spans="1:9" ht="15.9" customHeight="1">
      <c r="A34" s="729" t="s">
        <v>90</v>
      </c>
      <c r="B34" s="730" t="s">
        <v>108</v>
      </c>
      <c r="C34" s="610"/>
      <c r="D34" s="730"/>
      <c r="E34" s="851">
        <f>+E32-E33</f>
        <v>317.19999999999993</v>
      </c>
      <c r="F34" s="852"/>
      <c r="G34" s="852"/>
      <c r="H34" s="1368"/>
      <c r="I34" s="1369"/>
    </row>
    <row r="35" spans="1:9" ht="15.9" customHeight="1">
      <c r="A35" s="729" t="s">
        <v>92</v>
      </c>
      <c r="B35" s="730" t="s">
        <v>109</v>
      </c>
      <c r="C35" s="610"/>
      <c r="D35" s="730"/>
      <c r="E35" s="850">
        <v>841</v>
      </c>
      <c r="F35" s="850"/>
      <c r="G35" s="849"/>
      <c r="H35" s="1366"/>
      <c r="I35" s="1367"/>
    </row>
    <row r="36" spans="1:9" ht="15.9" customHeight="1">
      <c r="A36" s="729" t="s">
        <v>94</v>
      </c>
      <c r="B36" s="730" t="s">
        <v>110</v>
      </c>
      <c r="C36" s="610"/>
      <c r="D36" s="730"/>
      <c r="E36" s="852">
        <f>+E34-(E32-E35)</f>
        <v>309.89999999999998</v>
      </c>
      <c r="F36" s="852"/>
      <c r="G36" s="852"/>
      <c r="H36" s="1370" t="s">
        <v>100</v>
      </c>
      <c r="I36" s="1371"/>
    </row>
    <row r="37" spans="1:9" ht="15.9" customHeight="1">
      <c r="A37" s="731"/>
      <c r="B37" s="730" t="s">
        <v>111</v>
      </c>
      <c r="C37" s="610"/>
      <c r="D37" s="730"/>
      <c r="E37" s="853">
        <f>+E35/E34</f>
        <v>2.651324085750316</v>
      </c>
      <c r="F37" s="853"/>
      <c r="G37" s="853"/>
      <c r="H37" s="1361">
        <f>+AVERAGE(E37:G37)</f>
        <v>2.651324085750316</v>
      </c>
      <c r="I37" s="1362"/>
    </row>
    <row r="38" spans="1:9" ht="15.9" customHeight="1">
      <c r="A38" s="731"/>
      <c r="B38" s="730" t="s">
        <v>112</v>
      </c>
      <c r="C38" s="610"/>
      <c r="D38" s="730"/>
      <c r="E38" s="853">
        <f>+E32/E34</f>
        <v>2.6743379571248429</v>
      </c>
      <c r="F38" s="853"/>
      <c r="G38" s="853"/>
      <c r="H38" s="1372">
        <f>+AVERAGE(E38:G38)</f>
        <v>2.6743379571248429</v>
      </c>
      <c r="I38" s="1373"/>
    </row>
    <row r="39" spans="1:9" ht="15.9" customHeight="1">
      <c r="A39" s="731"/>
      <c r="B39" s="730" t="s">
        <v>113</v>
      </c>
      <c r="C39" s="610"/>
      <c r="D39" s="730"/>
      <c r="E39" s="853">
        <f>+E35/E36</f>
        <v>2.7137786382704099</v>
      </c>
      <c r="F39" s="853"/>
      <c r="G39" s="853"/>
      <c r="H39" s="1361">
        <f>+AVERAGE(E39:G39)</f>
        <v>2.7137786382704099</v>
      </c>
      <c r="I39" s="1362"/>
    </row>
    <row r="40" spans="1:9" ht="15.9" customHeight="1">
      <c r="A40" s="733"/>
      <c r="B40" s="734" t="s">
        <v>114</v>
      </c>
      <c r="C40" s="735"/>
      <c r="D40" s="734"/>
      <c r="E40" s="854">
        <f>((E32-E35)/E35*100)</f>
        <v>0.86801426872769971</v>
      </c>
      <c r="F40" s="854"/>
      <c r="G40" s="855"/>
      <c r="H40" s="1363">
        <f>+AVERAGE(E40:G40)</f>
        <v>0.86801426872769971</v>
      </c>
      <c r="I40" s="1364"/>
    </row>
    <row r="41" spans="1:9" ht="18" customHeight="1">
      <c r="C41" s="696"/>
      <c r="E41" s="590"/>
      <c r="F41" s="590"/>
      <c r="G41" s="590"/>
      <c r="H41" s="590"/>
      <c r="I41" s="590"/>
    </row>
    <row r="42" spans="1:9" ht="18" customHeight="1">
      <c r="C42" s="696"/>
      <c r="E42" s="590"/>
      <c r="F42" s="590"/>
      <c r="G42" s="590"/>
      <c r="H42" s="590"/>
      <c r="I42" s="590"/>
    </row>
    <row r="43" spans="1:9" ht="18" customHeight="1">
      <c r="C43" s="696"/>
      <c r="E43" s="590"/>
      <c r="F43" s="590"/>
      <c r="G43" s="590"/>
      <c r="H43" s="590"/>
      <c r="I43" s="590"/>
    </row>
    <row r="44" spans="1:9" ht="18" customHeight="1">
      <c r="C44" s="696"/>
      <c r="E44" s="590"/>
      <c r="F44" s="590"/>
      <c r="G44" s="590"/>
      <c r="H44" s="590"/>
      <c r="I44" s="590"/>
    </row>
    <row r="45" spans="1:9" ht="18" customHeight="1">
      <c r="C45" s="696"/>
      <c r="E45" s="590"/>
      <c r="F45" s="590"/>
      <c r="G45" s="590"/>
      <c r="H45" s="590"/>
      <c r="I45" s="590"/>
    </row>
    <row r="46" spans="1:9" ht="18" customHeight="1">
      <c r="C46" s="696"/>
      <c r="E46" s="590"/>
      <c r="F46" s="590"/>
      <c r="G46" s="590"/>
      <c r="H46" s="590"/>
      <c r="I46" s="590"/>
    </row>
    <row r="47" spans="1:9" ht="18" customHeight="1">
      <c r="C47" s="696"/>
      <c r="E47" s="590"/>
      <c r="F47" s="590"/>
      <c r="G47" s="590"/>
      <c r="H47" s="590"/>
      <c r="I47" s="590"/>
    </row>
    <row r="48" spans="1:9" ht="18" customHeight="1">
      <c r="C48" s="696"/>
      <c r="E48" s="590"/>
      <c r="F48" s="590"/>
      <c r="G48" s="590"/>
      <c r="H48" s="590"/>
      <c r="I48" s="590"/>
    </row>
    <row r="49" spans="1:15" ht="18" customHeight="1">
      <c r="C49" s="696"/>
      <c r="E49" s="590"/>
      <c r="F49" s="590"/>
      <c r="G49" s="590"/>
      <c r="H49" s="590"/>
      <c r="I49" s="590"/>
    </row>
    <row r="50" spans="1:15" ht="18" customHeight="1">
      <c r="C50" s="696"/>
      <c r="E50" s="590"/>
      <c r="F50" s="590"/>
      <c r="G50" s="590"/>
      <c r="H50" s="590"/>
      <c r="I50" s="590"/>
    </row>
    <row r="51" spans="1:15" ht="16.5" customHeight="1">
      <c r="C51" s="696"/>
      <c r="E51" s="590"/>
      <c r="F51" s="590"/>
      <c r="G51" s="590"/>
      <c r="H51" s="590"/>
      <c r="I51" s="590"/>
    </row>
    <row r="52" spans="1:15" ht="18" customHeight="1">
      <c r="C52" s="696"/>
      <c r="E52" s="590"/>
      <c r="F52" s="590"/>
      <c r="G52" s="590"/>
      <c r="H52" s="590"/>
      <c r="I52" s="590"/>
    </row>
    <row r="53" spans="1:15" ht="23.25" customHeight="1">
      <c r="A53" s="1365" t="s">
        <v>115</v>
      </c>
      <c r="B53" s="1365"/>
      <c r="C53" s="1365"/>
      <c r="D53" s="1365"/>
      <c r="E53" s="1365"/>
      <c r="F53" s="1365"/>
      <c r="G53" s="1365"/>
      <c r="H53" s="1365"/>
      <c r="I53" s="1365"/>
      <c r="J53" s="571"/>
      <c r="K53" s="571"/>
      <c r="L53" s="571"/>
      <c r="M53" s="571"/>
    </row>
    <row r="54" spans="1:15">
      <c r="A54" s="736"/>
      <c r="B54" s="737"/>
      <c r="C54" s="738"/>
      <c r="D54" s="739"/>
      <c r="E54" s="739"/>
      <c r="F54" s="739"/>
      <c r="G54" s="739"/>
      <c r="H54" s="739"/>
      <c r="I54" s="739"/>
    </row>
    <row r="55" spans="1:15">
      <c r="A55" s="736"/>
      <c r="B55" s="737"/>
      <c r="C55" s="738"/>
      <c r="D55" s="739"/>
      <c r="E55" s="739"/>
      <c r="F55" s="739"/>
      <c r="G55" s="739"/>
      <c r="H55" s="739"/>
      <c r="I55" s="739"/>
    </row>
    <row r="56" spans="1:15">
      <c r="A56" s="736"/>
      <c r="B56" s="737"/>
      <c r="C56" s="738"/>
      <c r="D56" s="739"/>
      <c r="E56" s="739"/>
      <c r="F56" s="739"/>
      <c r="G56" s="739"/>
      <c r="H56" s="739"/>
      <c r="I56" s="739"/>
    </row>
    <row r="57" spans="1:15">
      <c r="A57" s="736"/>
      <c r="B57" s="737"/>
      <c r="C57" s="738"/>
      <c r="D57" s="739"/>
      <c r="E57" s="739"/>
      <c r="F57" s="739"/>
      <c r="G57" s="739"/>
      <c r="H57" s="739"/>
      <c r="I57" s="739"/>
    </row>
    <row r="59" spans="1:15">
      <c r="E59" s="736"/>
      <c r="F59" s="737"/>
      <c r="G59" s="738"/>
      <c r="H59" s="738"/>
      <c r="I59" s="739"/>
      <c r="J59" s="739"/>
      <c r="K59" s="739"/>
      <c r="L59" s="739"/>
    </row>
    <row r="60" spans="1:15">
      <c r="E60" s="736"/>
      <c r="F60" s="737"/>
      <c r="G60" s="738"/>
      <c r="H60" s="738"/>
      <c r="I60" s="739"/>
      <c r="J60" s="739"/>
      <c r="K60" s="739"/>
      <c r="L60" s="739"/>
    </row>
    <row r="61" spans="1:15">
      <c r="E61" s="736"/>
      <c r="F61" s="737"/>
      <c r="G61" s="738"/>
      <c r="H61" s="738"/>
      <c r="I61" s="739"/>
      <c r="J61" s="739"/>
      <c r="K61" s="739"/>
      <c r="L61" s="739"/>
    </row>
    <row r="62" spans="1:15">
      <c r="E62" s="740"/>
      <c r="F62" s="740"/>
      <c r="G62" s="741"/>
      <c r="H62" s="741"/>
      <c r="I62" s="739"/>
      <c r="J62" s="739"/>
      <c r="K62" s="739"/>
      <c r="L62" s="739"/>
      <c r="N62" s="668"/>
      <c r="O62" s="668"/>
    </row>
    <row r="63" spans="1:15">
      <c r="A63" s="742"/>
      <c r="B63" s="668"/>
      <c r="C63" s="668"/>
      <c r="D63" s="743"/>
      <c r="E63" s="744"/>
      <c r="F63" s="668"/>
      <c r="G63" s="668"/>
      <c r="H63" s="668"/>
      <c r="I63" s="668"/>
      <c r="J63" s="744"/>
      <c r="K63" s="668"/>
      <c r="L63" s="668"/>
      <c r="M63" s="668"/>
      <c r="N63" s="668"/>
      <c r="O63" s="668"/>
    </row>
    <row r="64" spans="1:15">
      <c r="A64" s="745"/>
      <c r="B64" s="745"/>
      <c r="C64" s="746"/>
      <c r="D64" s="747"/>
    </row>
    <row r="65" spans="3:4">
      <c r="C65" s="747"/>
      <c r="D65" s="747"/>
    </row>
  </sheetData>
  <protectedRanges>
    <protectedRange sqref="F14 D10 D13" name="Rango3_3_1_1_1_2"/>
    <protectedRange sqref="E13" name="Rango3_1_1_1_1_1_1_1"/>
    <protectedRange sqref="G13:H13" name="Rango3_3_1_1_1"/>
  </protectedRanges>
  <mergeCells count="27">
    <mergeCell ref="H18:I18"/>
    <mergeCell ref="E3:I3"/>
    <mergeCell ref="A7:I7"/>
    <mergeCell ref="A8:I8"/>
    <mergeCell ref="A15:I15"/>
    <mergeCell ref="A16:I16"/>
    <mergeCell ref="H32:I32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A30:I30"/>
    <mergeCell ref="H39:I39"/>
    <mergeCell ref="H40:I40"/>
    <mergeCell ref="A53:I53"/>
    <mergeCell ref="H33:I33"/>
    <mergeCell ref="H34:I34"/>
    <mergeCell ref="H35:I35"/>
    <mergeCell ref="H36:I36"/>
    <mergeCell ref="H37:I37"/>
    <mergeCell ref="H38:I38"/>
  </mergeCells>
  <hyperlinks>
    <hyperlink ref="A53" r:id="rId1" display="http://www.geofal.com.pe/" xr:uid="{00000000-0004-0000-0200-000000000000}"/>
  </hyperlinks>
  <printOptions horizontalCentered="1"/>
  <pageMargins left="0.78740157480314965" right="0.78740157480314965" top="0.78740157480314965" bottom="0.39370078740157483" header="0" footer="0"/>
  <pageSetup paperSize="9" scale="84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view="pageBreakPreview" topLeftCell="A19" zoomScaleNormal="100" zoomScaleSheetLayoutView="100" workbookViewId="0">
      <selection activeCell="A8" sqref="A8:J8"/>
    </sheetView>
  </sheetViews>
  <sheetFormatPr baseColWidth="10" defaultColWidth="11.44140625" defaultRowHeight="13.2"/>
  <cols>
    <col min="1" max="1" width="11" style="469" customWidth="1"/>
    <col min="2" max="2" width="2.109375" style="469" customWidth="1"/>
    <col min="3" max="3" width="11.44140625" style="469"/>
    <col min="4" max="4" width="7.88671875" style="469" customWidth="1"/>
    <col min="5" max="5" width="15" style="469" customWidth="1"/>
    <col min="6" max="6" width="19.88671875" style="469" customWidth="1"/>
    <col min="7" max="7" width="8.33203125" style="469" customWidth="1"/>
    <col min="8" max="8" width="6.44140625" style="469" customWidth="1"/>
    <col min="9" max="9" width="1.88671875" style="469" customWidth="1"/>
    <col min="10" max="10" width="14.44140625" style="469" customWidth="1"/>
    <col min="11" max="16384" width="11.44140625" style="469"/>
  </cols>
  <sheetData>
    <row r="1" spans="1:16" ht="15.75" customHeight="1" thickTop="1">
      <c r="A1" s="466"/>
      <c r="B1" s="665"/>
      <c r="C1" s="467"/>
      <c r="D1" s="467"/>
      <c r="E1" s="467"/>
      <c r="F1" s="467"/>
      <c r="G1" s="467"/>
      <c r="H1" s="467"/>
      <c r="I1" s="467"/>
      <c r="J1" s="468"/>
      <c r="K1" s="295"/>
      <c r="M1" s="296"/>
    </row>
    <row r="2" spans="1:16" ht="15.75" customHeight="1">
      <c r="A2" s="381"/>
      <c r="B2" s="299"/>
      <c r="C2" s="470"/>
      <c r="D2" s="299"/>
      <c r="E2" s="299"/>
      <c r="F2" s="299"/>
      <c r="G2" s="299"/>
      <c r="H2" s="299"/>
      <c r="I2" s="299"/>
      <c r="J2" s="471"/>
      <c r="K2" s="1037"/>
      <c r="M2" s="300"/>
    </row>
    <row r="3" spans="1:16" ht="15.75" customHeight="1">
      <c r="A3" s="472"/>
      <c r="B3" s="663"/>
      <c r="F3" s="385"/>
      <c r="G3" s="385"/>
      <c r="H3" s="385"/>
      <c r="I3" s="385"/>
      <c r="J3" s="473"/>
      <c r="K3" s="304"/>
      <c r="M3" s="304"/>
    </row>
    <row r="4" spans="1:16" ht="15.75" customHeight="1">
      <c r="A4" s="474"/>
      <c r="B4" s="662"/>
      <c r="C4" s="475"/>
      <c r="F4" s="308"/>
      <c r="G4" s="305"/>
      <c r="H4" s="305"/>
      <c r="I4" s="476"/>
      <c r="J4" s="477"/>
      <c r="K4" s="309"/>
    </row>
    <row r="5" spans="1:16" ht="15.75" customHeight="1">
      <c r="A5" s="474"/>
      <c r="B5" s="662"/>
      <c r="C5" s="475"/>
      <c r="F5" s="308"/>
      <c r="G5" s="305"/>
      <c r="H5" s="305"/>
      <c r="I5" s="476"/>
      <c r="J5" s="477"/>
      <c r="K5" s="309"/>
    </row>
    <row r="6" spans="1:16" ht="15.75" customHeight="1" thickBot="1">
      <c r="A6" s="478"/>
      <c r="B6" s="479"/>
      <c r="C6" s="479"/>
      <c r="D6" s="479"/>
      <c r="E6" s="313"/>
      <c r="F6" s="313"/>
      <c r="G6" s="313"/>
      <c r="H6" s="313"/>
      <c r="I6" s="313"/>
      <c r="J6" s="480"/>
      <c r="K6" s="481"/>
      <c r="L6" s="482"/>
    </row>
    <row r="7" spans="1:16" ht="24" customHeight="1" thickTop="1">
      <c r="A7" s="1389" t="s">
        <v>116</v>
      </c>
      <c r="B7" s="1390"/>
      <c r="C7" s="1390"/>
      <c r="D7" s="1390"/>
      <c r="E7" s="1390"/>
      <c r="F7" s="1390"/>
      <c r="G7" s="1390"/>
      <c r="H7" s="1390"/>
      <c r="I7" s="1390"/>
      <c r="J7" s="1391"/>
      <c r="K7" s="661"/>
      <c r="L7" s="661"/>
      <c r="M7" s="661"/>
      <c r="N7" s="661"/>
      <c r="O7" s="661"/>
      <c r="P7" s="661"/>
    </row>
    <row r="8" spans="1:16" ht="24" customHeight="1">
      <c r="A8" s="1358" t="s">
        <v>117</v>
      </c>
      <c r="B8" s="1359"/>
      <c r="C8" s="1359"/>
      <c r="D8" s="1359"/>
      <c r="E8" s="1359"/>
      <c r="F8" s="1359"/>
      <c r="G8" s="1359"/>
      <c r="H8" s="1359"/>
      <c r="I8" s="1359"/>
      <c r="J8" s="1360"/>
      <c r="K8" s="654"/>
      <c r="L8" s="654"/>
      <c r="M8" s="654"/>
      <c r="P8" s="660"/>
    </row>
    <row r="9" spans="1:16" ht="10.5" customHeight="1">
      <c r="A9" s="1090"/>
      <c r="B9" s="1091"/>
      <c r="C9" s="1091"/>
      <c r="D9" s="1091"/>
      <c r="E9" s="1091"/>
      <c r="F9" s="1091"/>
      <c r="G9" s="1091"/>
      <c r="H9" s="1091"/>
      <c r="I9" s="1091"/>
      <c r="J9" s="1092"/>
      <c r="K9" s="654"/>
      <c r="L9" s="654"/>
      <c r="M9" s="654"/>
      <c r="P9" s="660"/>
    </row>
    <row r="10" spans="1:16" ht="17.100000000000001" customHeight="1">
      <c r="A10" s="647" t="s">
        <v>2</v>
      </c>
      <c r="B10" s="648" t="s">
        <v>3</v>
      </c>
      <c r="C10" s="659" t="str">
        <f>+Gran!C9</f>
        <v>CAME Contratistas y servicios generales S.A.</v>
      </c>
      <c r="D10" s="666"/>
      <c r="E10" s="646"/>
      <c r="F10" s="646"/>
      <c r="G10" s="646" t="s">
        <v>79</v>
      </c>
      <c r="H10" s="667"/>
      <c r="I10" s="667" t="s">
        <v>3</v>
      </c>
      <c r="J10" s="828" t="s">
        <v>118</v>
      </c>
      <c r="K10" s="668"/>
      <c r="L10" s="668"/>
      <c r="M10" s="654"/>
      <c r="P10" s="654"/>
    </row>
    <row r="11" spans="1:16" ht="17.100000000000001" customHeight="1">
      <c r="A11" s="657" t="s">
        <v>5</v>
      </c>
      <c r="B11" s="648" t="s">
        <v>3</v>
      </c>
      <c r="C11" s="656" t="str">
        <f>+Gran!C10</f>
        <v>Mejoramiento de la Carretera JU-1029 tramo PE 22 Pachachaca -Yauli</v>
      </c>
      <c r="D11" s="669"/>
      <c r="E11" s="670"/>
      <c r="F11" s="670"/>
      <c r="G11" s="646" t="s">
        <v>81</v>
      </c>
      <c r="H11" s="667"/>
      <c r="I11" s="667" t="s">
        <v>3</v>
      </c>
      <c r="J11" s="671"/>
      <c r="K11" s="672"/>
      <c r="L11" s="672"/>
      <c r="M11" s="654"/>
      <c r="P11" s="654"/>
    </row>
    <row r="12" spans="1:16" ht="17.100000000000001" customHeight="1">
      <c r="A12" s="647" t="s">
        <v>11</v>
      </c>
      <c r="B12" s="648" t="s">
        <v>3</v>
      </c>
      <c r="C12" s="653" t="str">
        <f>+Gran!C11</f>
        <v>Distrito de Yauli - Junin</v>
      </c>
      <c r="D12" s="666"/>
      <c r="E12" s="667"/>
      <c r="F12" s="667"/>
      <c r="G12" s="646" t="s">
        <v>82</v>
      </c>
      <c r="H12" s="667"/>
      <c r="I12" s="667" t="s">
        <v>3</v>
      </c>
      <c r="J12" s="1029">
        <f>+Gran!O12</f>
        <v>41876</v>
      </c>
      <c r="K12" s="650"/>
      <c r="L12" s="650"/>
      <c r="M12" s="519"/>
      <c r="P12" s="519"/>
    </row>
    <row r="13" spans="1:16" ht="17.100000000000001" customHeight="1">
      <c r="A13" s="647" t="str">
        <f>+Gran!A12</f>
        <v xml:space="preserve">Cantera </v>
      </c>
      <c r="B13" s="648" t="s">
        <v>3</v>
      </c>
      <c r="C13" s="868" t="str">
        <f>+Gran!C12</f>
        <v>Agregados GMC S.R.L. (Rio Yauli - Km. 5+700)</v>
      </c>
      <c r="D13" s="669"/>
      <c r="E13" s="669"/>
      <c r="F13" s="669"/>
      <c r="G13" s="646" t="s">
        <v>83</v>
      </c>
      <c r="H13" s="667"/>
      <c r="I13" s="667" t="s">
        <v>3</v>
      </c>
      <c r="J13" s="673" t="str">
        <f>+Gran!O13</f>
        <v>F.L.G.</v>
      </c>
      <c r="K13" s="668"/>
      <c r="L13" s="668"/>
    </row>
    <row r="14" spans="1:16" ht="17.100000000000001" customHeight="1">
      <c r="A14" s="647" t="s">
        <v>84</v>
      </c>
      <c r="B14" s="648" t="s">
        <v>3</v>
      </c>
      <c r="C14" s="674" t="str">
        <f>+Gran!C13</f>
        <v>Grava para concreto</v>
      </c>
      <c r="D14" s="669"/>
      <c r="E14" s="669"/>
      <c r="F14" s="669"/>
      <c r="G14" s="675"/>
      <c r="H14" s="666"/>
      <c r="I14" s="676"/>
      <c r="J14" s="677"/>
      <c r="K14" s="639"/>
      <c r="L14" s="639"/>
    </row>
    <row r="15" spans="1:16" ht="17.100000000000001" customHeight="1">
      <c r="A15" s="638"/>
      <c r="B15" s="637"/>
      <c r="C15" s="636"/>
      <c r="D15" s="678"/>
      <c r="E15" s="636"/>
      <c r="F15" s="678"/>
      <c r="G15" s="678"/>
      <c r="H15" s="678"/>
      <c r="I15" s="678"/>
      <c r="J15" s="679"/>
    </row>
    <row r="16" spans="1:16" ht="15.9" customHeight="1">
      <c r="A16" s="1395" t="s">
        <v>119</v>
      </c>
      <c r="B16" s="1396"/>
      <c r="C16" s="1396"/>
      <c r="D16" s="1396"/>
      <c r="E16" s="1396"/>
      <c r="F16" s="1396"/>
      <c r="G16" s="1396"/>
      <c r="H16" s="1396"/>
      <c r="I16" s="1396"/>
      <c r="J16" s="1397"/>
      <c r="K16" s="484"/>
    </row>
    <row r="17" spans="1:13" ht="15.9" customHeight="1">
      <c r="A17" s="680" t="s">
        <v>84</v>
      </c>
      <c r="B17" s="681" t="s">
        <v>3</v>
      </c>
      <c r="C17" s="1096"/>
      <c r="D17" s="1097"/>
      <c r="E17" s="587"/>
      <c r="F17" s="1096"/>
      <c r="G17" s="1096"/>
      <c r="H17" s="1096"/>
      <c r="I17" s="1096"/>
      <c r="J17" s="1095"/>
      <c r="K17" s="483"/>
    </row>
    <row r="18" spans="1:13" ht="15.9" customHeight="1">
      <c r="A18" s="680" t="s">
        <v>120</v>
      </c>
      <c r="B18" s="681" t="s">
        <v>3</v>
      </c>
      <c r="C18" s="682"/>
      <c r="D18" s="683"/>
      <c r="E18" s="684"/>
      <c r="F18" s="685"/>
      <c r="G18" s="686"/>
      <c r="H18" s="686"/>
      <c r="I18" s="686"/>
      <c r="J18" s="687"/>
      <c r="K18" s="483"/>
    </row>
    <row r="19" spans="1:13" ht="15.9" customHeight="1">
      <c r="A19" s="688" t="s">
        <v>121</v>
      </c>
      <c r="B19" s="689" t="s">
        <v>3</v>
      </c>
      <c r="C19" s="689"/>
      <c r="D19" s="690"/>
      <c r="E19" s="691"/>
      <c r="F19" s="692"/>
      <c r="G19" s="693"/>
      <c r="H19" s="694"/>
      <c r="I19" s="694"/>
      <c r="J19" s="695"/>
      <c r="K19" s="483"/>
    </row>
    <row r="20" spans="1:13" ht="15.9" customHeight="1">
      <c r="A20" s="1395" t="s">
        <v>105</v>
      </c>
      <c r="B20" s="1396"/>
      <c r="C20" s="1396"/>
      <c r="D20" s="1396"/>
      <c r="E20" s="1396"/>
      <c r="F20" s="1396"/>
      <c r="G20" s="1396"/>
      <c r="H20" s="1396"/>
      <c r="I20" s="1396"/>
      <c r="J20" s="1397"/>
      <c r="K20" s="498"/>
      <c r="L20" s="498"/>
      <c r="M20" s="498"/>
    </row>
    <row r="21" spans="1:13" ht="15.9" customHeight="1">
      <c r="A21" s="618" t="s">
        <v>122</v>
      </c>
      <c r="B21" s="1098"/>
      <c r="C21" s="1098"/>
      <c r="D21" s="1098"/>
      <c r="E21" s="617">
        <v>1</v>
      </c>
      <c r="F21" s="617">
        <v>2</v>
      </c>
      <c r="G21" s="1427">
        <v>3</v>
      </c>
      <c r="H21" s="1428"/>
      <c r="I21" s="1427">
        <v>4</v>
      </c>
      <c r="J21" s="1429"/>
      <c r="K21" s="498"/>
      <c r="L21" s="498"/>
      <c r="M21" s="498"/>
    </row>
    <row r="22" spans="1:13" ht="15.9" customHeight="1">
      <c r="A22" s="615" t="s">
        <v>123</v>
      </c>
      <c r="B22" s="614"/>
      <c r="C22" s="613"/>
      <c r="D22" s="612"/>
      <c r="E22" s="858">
        <v>15801</v>
      </c>
      <c r="F22" s="859">
        <v>15816</v>
      </c>
      <c r="G22" s="1418">
        <v>15810</v>
      </c>
      <c r="H22" s="1419"/>
      <c r="I22" s="863"/>
      <c r="J22" s="862" t="s">
        <v>124</v>
      </c>
      <c r="K22" s="498"/>
      <c r="L22" s="498"/>
      <c r="M22" s="498"/>
    </row>
    <row r="23" spans="1:13" ht="15.9" customHeight="1">
      <c r="A23" s="604" t="s">
        <v>125</v>
      </c>
      <c r="B23" s="603"/>
      <c r="C23" s="602"/>
      <c r="D23" s="1036"/>
      <c r="E23" s="857">
        <v>6665</v>
      </c>
      <c r="F23" s="611">
        <f>+E23</f>
        <v>6665</v>
      </c>
      <c r="G23" s="1420">
        <f>+E23</f>
        <v>6665</v>
      </c>
      <c r="H23" s="1421"/>
      <c r="I23" s="1034"/>
      <c r="J23" s="829" t="s">
        <v>124</v>
      </c>
      <c r="K23" s="498"/>
      <c r="L23" s="498"/>
      <c r="M23" s="498"/>
    </row>
    <row r="24" spans="1:13" ht="15.9" customHeight="1">
      <c r="A24" s="604" t="s">
        <v>126</v>
      </c>
      <c r="B24" s="603"/>
      <c r="C24" s="602"/>
      <c r="D24" s="1036"/>
      <c r="E24" s="610">
        <f>E22-E23</f>
        <v>9136</v>
      </c>
      <c r="F24" s="610">
        <f>F22-F23</f>
        <v>9151</v>
      </c>
      <c r="G24" s="1422">
        <f>G22-G23</f>
        <v>9145</v>
      </c>
      <c r="H24" s="1423"/>
      <c r="I24" s="1035"/>
      <c r="J24" s="830" t="s">
        <v>124</v>
      </c>
      <c r="K24" s="498"/>
      <c r="L24" s="498"/>
      <c r="M24" s="498"/>
    </row>
    <row r="25" spans="1:13" ht="15.9" customHeight="1">
      <c r="A25" s="604" t="s">
        <v>127</v>
      </c>
      <c r="B25" s="603"/>
      <c r="C25" s="602"/>
      <c r="D25" s="1036"/>
      <c r="E25" s="860">
        <v>5626</v>
      </c>
      <c r="F25" s="608">
        <f>+E25</f>
        <v>5626</v>
      </c>
      <c r="G25" s="1424">
        <f>+E25</f>
        <v>5626</v>
      </c>
      <c r="H25" s="1425"/>
      <c r="I25" s="1034"/>
      <c r="J25" s="829" t="s">
        <v>128</v>
      </c>
      <c r="K25" s="498"/>
      <c r="L25" s="498"/>
      <c r="M25" s="498"/>
    </row>
    <row r="26" spans="1:13" ht="15.9" customHeight="1">
      <c r="A26" s="604" t="s">
        <v>129</v>
      </c>
      <c r="B26" s="603"/>
      <c r="C26" s="602"/>
      <c r="D26" s="1036"/>
      <c r="E26" s="606">
        <f>+E24/E25</f>
        <v>1.6238890863846427</v>
      </c>
      <c r="F26" s="606">
        <f>+F24/F25</f>
        <v>1.6265552790615001</v>
      </c>
      <c r="G26" s="1398">
        <f>+G24/G25</f>
        <v>1.6254888019907572</v>
      </c>
      <c r="H26" s="1426"/>
      <c r="I26" s="1398"/>
      <c r="J26" s="1399"/>
      <c r="K26" s="498"/>
      <c r="L26" s="498"/>
      <c r="M26" s="498"/>
    </row>
    <row r="27" spans="1:13" ht="15.9" customHeight="1">
      <c r="A27" s="604" t="s">
        <v>130</v>
      </c>
      <c r="B27" s="603"/>
      <c r="C27" s="602"/>
      <c r="D27" s="1036"/>
      <c r="E27" s="856">
        <v>1.3</v>
      </c>
      <c r="F27" s="601">
        <f>+E27</f>
        <v>1.3</v>
      </c>
      <c r="G27" s="1400">
        <f>+E27</f>
        <v>1.3</v>
      </c>
      <c r="H27" s="1401"/>
      <c r="I27" s="1400"/>
      <c r="J27" s="1402"/>
      <c r="K27" s="498"/>
      <c r="L27" s="498"/>
      <c r="M27" s="498"/>
    </row>
    <row r="28" spans="1:13" ht="15.9" customHeight="1">
      <c r="A28" s="599" t="s">
        <v>131</v>
      </c>
      <c r="B28" s="598"/>
      <c r="C28" s="597"/>
      <c r="D28" s="596"/>
      <c r="E28" s="595">
        <f>+E26/(1+(E27/100))</f>
        <v>1.6030494436176139</v>
      </c>
      <c r="F28" s="595">
        <f>+F26/(1+(F27/100))</f>
        <v>1.6056814205937811</v>
      </c>
      <c r="G28" s="1403">
        <f>+G26/(1+(G27/100))</f>
        <v>1.6046286298033143</v>
      </c>
      <c r="H28" s="1404"/>
      <c r="I28" s="1403"/>
      <c r="J28" s="1405"/>
      <c r="K28" s="498"/>
      <c r="L28" s="498"/>
      <c r="M28" s="498"/>
    </row>
    <row r="29" spans="1:13" ht="15.9" customHeight="1" thickBot="1">
      <c r="A29" s="587"/>
      <c r="B29" s="587"/>
      <c r="C29" s="587"/>
      <c r="D29" s="696"/>
      <c r="E29" s="696"/>
      <c r="F29" s="591"/>
      <c r="G29" s="587"/>
      <c r="H29" s="587"/>
      <c r="I29" s="587"/>
      <c r="J29" s="587"/>
      <c r="K29" s="498"/>
      <c r="L29" s="498"/>
      <c r="M29" s="498"/>
    </row>
    <row r="30" spans="1:13" ht="13.5" customHeight="1" thickTop="1">
      <c r="A30" s="587"/>
      <c r="B30" s="587"/>
      <c r="C30" s="587"/>
      <c r="D30" s="696"/>
      <c r="E30" s="587"/>
      <c r="F30" s="1406" t="s">
        <v>132</v>
      </c>
      <c r="G30" s="1407"/>
      <c r="H30" s="1408"/>
      <c r="I30" s="1412">
        <f>AVERAGE(E28:I28)</f>
        <v>1.6044531646715698</v>
      </c>
      <c r="J30" s="1413"/>
      <c r="K30" s="498"/>
      <c r="L30" s="498"/>
      <c r="M30" s="498"/>
    </row>
    <row r="31" spans="1:13" ht="14.4" thickBot="1">
      <c r="A31" s="587"/>
      <c r="B31" s="587"/>
      <c r="C31" s="587"/>
      <c r="D31" s="696"/>
      <c r="E31" s="587"/>
      <c r="F31" s="1409"/>
      <c r="G31" s="1410"/>
      <c r="H31" s="1411"/>
      <c r="I31" s="1414"/>
      <c r="J31" s="1415"/>
      <c r="K31" s="498"/>
      <c r="L31" s="498"/>
      <c r="M31" s="498"/>
    </row>
    <row r="32" spans="1:13" ht="14.4" thickTop="1">
      <c r="A32" s="587"/>
      <c r="B32" s="587"/>
      <c r="C32" s="587"/>
      <c r="D32" s="696"/>
      <c r="E32" s="587"/>
      <c r="F32" s="593"/>
      <c r="G32" s="592"/>
      <c r="H32" s="591"/>
      <c r="I32" s="591"/>
      <c r="J32" s="697"/>
      <c r="K32" s="498"/>
      <c r="L32" s="498"/>
      <c r="M32" s="498"/>
    </row>
    <row r="33" spans="1:13" ht="13.8">
      <c r="A33" s="587"/>
      <c r="B33" s="587"/>
      <c r="C33" s="587"/>
      <c r="D33" s="696"/>
      <c r="E33" s="587"/>
      <c r="F33" s="590"/>
      <c r="G33" s="590"/>
      <c r="H33" s="590"/>
      <c r="I33" s="590"/>
      <c r="J33" s="590"/>
      <c r="K33" s="498"/>
      <c r="L33" s="498"/>
      <c r="M33" s="498"/>
    </row>
    <row r="34" spans="1:13" ht="13.8">
      <c r="A34" s="587"/>
      <c r="B34" s="587"/>
      <c r="C34" s="587"/>
      <c r="D34" s="587"/>
      <c r="E34" s="587"/>
      <c r="F34" s="587"/>
      <c r="G34" s="587"/>
      <c r="H34" s="587"/>
      <c r="I34" s="587"/>
      <c r="J34" s="587"/>
      <c r="K34" s="498"/>
      <c r="L34" s="498"/>
      <c r="M34" s="498"/>
    </row>
    <row r="35" spans="1:13">
      <c r="A35" s="1416"/>
      <c r="B35" s="1416"/>
      <c r="C35" s="1416"/>
      <c r="D35" s="1416"/>
      <c r="E35" s="1416"/>
      <c r="F35" s="1416"/>
      <c r="G35" s="1416"/>
      <c r="H35" s="1416"/>
      <c r="I35" s="1416"/>
      <c r="J35" s="1416"/>
      <c r="K35" s="498"/>
      <c r="L35" s="498"/>
      <c r="M35" s="498"/>
    </row>
    <row r="36" spans="1:13">
      <c r="E36" s="498"/>
      <c r="F36" s="498"/>
      <c r="G36" s="504"/>
      <c r="H36" s="504"/>
      <c r="I36" s="504"/>
      <c r="J36" s="498"/>
      <c r="K36" s="498"/>
      <c r="L36" s="498"/>
      <c r="M36" s="498"/>
    </row>
    <row r="37" spans="1:13">
      <c r="A37" s="499"/>
      <c r="B37" s="499"/>
      <c r="C37" s="498"/>
      <c r="D37" s="499"/>
      <c r="F37" s="505"/>
      <c r="G37" s="506"/>
      <c r="H37" s="505"/>
      <c r="I37" s="505"/>
      <c r="J37" s="498"/>
      <c r="K37" s="498"/>
      <c r="L37" s="498"/>
      <c r="M37" s="498"/>
    </row>
    <row r="38" spans="1:13">
      <c r="A38" s="499"/>
      <c r="B38" s="499"/>
      <c r="C38" s="498"/>
      <c r="D38" s="499"/>
      <c r="F38" s="507"/>
      <c r="G38" s="506"/>
      <c r="H38" s="505"/>
      <c r="I38" s="505"/>
      <c r="J38" s="498"/>
      <c r="K38" s="498"/>
      <c r="L38" s="498"/>
      <c r="M38" s="498"/>
    </row>
    <row r="39" spans="1:13">
      <c r="A39" s="499"/>
      <c r="B39" s="499"/>
      <c r="C39" s="498"/>
      <c r="D39" s="499"/>
      <c r="F39" s="508"/>
      <c r="G39" s="509"/>
      <c r="H39" s="509"/>
      <c r="I39" s="509"/>
      <c r="J39" s="498"/>
      <c r="K39" s="498"/>
      <c r="L39" s="498"/>
      <c r="M39" s="498"/>
    </row>
    <row r="40" spans="1:13">
      <c r="A40" s="499"/>
      <c r="B40" s="499"/>
      <c r="C40" s="498"/>
      <c r="D40" s="499"/>
      <c r="F40" s="507"/>
      <c r="G40" s="506"/>
      <c r="H40" s="505"/>
      <c r="I40" s="505"/>
      <c r="J40" s="510"/>
      <c r="K40" s="498"/>
      <c r="L40" s="498"/>
      <c r="M40" s="498"/>
    </row>
    <row r="41" spans="1:13">
      <c r="A41" s="499"/>
      <c r="B41" s="499"/>
      <c r="C41" s="498"/>
      <c r="D41" s="499"/>
      <c r="F41" s="509"/>
      <c r="G41" s="509"/>
      <c r="H41" s="509"/>
      <c r="I41" s="509"/>
      <c r="J41" s="511"/>
      <c r="K41" s="498"/>
      <c r="L41" s="498"/>
      <c r="M41" s="498"/>
    </row>
    <row r="42" spans="1:13">
      <c r="A42" s="498"/>
      <c r="B42" s="498"/>
      <c r="C42" s="498"/>
      <c r="D42" s="499"/>
      <c r="F42" s="500"/>
      <c r="G42" s="500"/>
      <c r="H42" s="500"/>
      <c r="I42" s="500"/>
      <c r="J42" s="512"/>
      <c r="K42" s="498"/>
      <c r="L42" s="498"/>
      <c r="M42" s="498"/>
    </row>
    <row r="43" spans="1:13">
      <c r="A43" s="498"/>
      <c r="B43" s="498"/>
      <c r="C43" s="498"/>
      <c r="D43" s="499"/>
      <c r="F43" s="500"/>
      <c r="G43" s="500"/>
      <c r="H43" s="500"/>
      <c r="I43" s="500"/>
      <c r="J43" s="513"/>
      <c r="K43" s="498"/>
      <c r="L43" s="498"/>
      <c r="M43" s="498"/>
    </row>
    <row r="44" spans="1:13">
      <c r="A44" s="498"/>
      <c r="B44" s="498"/>
      <c r="C44" s="498"/>
      <c r="D44" s="499"/>
      <c r="F44" s="500"/>
      <c r="G44" s="500"/>
      <c r="H44" s="500"/>
      <c r="I44" s="500"/>
      <c r="J44" s="513"/>
      <c r="K44" s="498"/>
      <c r="L44" s="498"/>
      <c r="M44" s="498"/>
    </row>
    <row r="45" spans="1:13">
      <c r="A45" s="498"/>
      <c r="B45" s="498"/>
      <c r="C45" s="498"/>
      <c r="D45" s="499"/>
      <c r="F45" s="500"/>
      <c r="G45" s="500"/>
      <c r="H45" s="500"/>
      <c r="I45" s="500"/>
      <c r="J45" s="513"/>
      <c r="K45" s="498"/>
      <c r="L45" s="498"/>
      <c r="M45" s="498"/>
    </row>
    <row r="46" spans="1:13">
      <c r="A46" s="498"/>
      <c r="B46" s="498"/>
      <c r="C46" s="498"/>
      <c r="D46" s="499"/>
      <c r="F46" s="500"/>
      <c r="G46" s="500"/>
      <c r="H46" s="500"/>
      <c r="I46" s="500"/>
      <c r="J46" s="513"/>
      <c r="K46" s="498"/>
      <c r="L46" s="498"/>
      <c r="M46" s="498"/>
    </row>
    <row r="47" spans="1:13">
      <c r="A47" s="498"/>
      <c r="B47" s="498"/>
      <c r="C47" s="498"/>
      <c r="D47" s="499"/>
      <c r="F47" s="500"/>
      <c r="G47" s="500"/>
      <c r="H47" s="500"/>
      <c r="I47" s="500"/>
      <c r="J47" s="513"/>
      <c r="K47" s="498"/>
      <c r="L47" s="498"/>
      <c r="M47" s="498"/>
    </row>
    <row r="48" spans="1:13">
      <c r="A48" s="498"/>
      <c r="B48" s="498"/>
      <c r="C48" s="498"/>
      <c r="D48" s="499"/>
      <c r="F48" s="500"/>
      <c r="G48" s="500"/>
      <c r="H48" s="500"/>
      <c r="I48" s="500"/>
      <c r="J48" s="513"/>
      <c r="K48" s="498"/>
      <c r="L48" s="498"/>
      <c r="M48" s="498"/>
    </row>
    <row r="49" spans="1:16">
      <c r="A49" s="498"/>
      <c r="B49" s="498"/>
      <c r="C49" s="498"/>
      <c r="D49" s="499"/>
      <c r="F49" s="500"/>
      <c r="G49" s="500"/>
      <c r="H49" s="500"/>
      <c r="I49" s="500"/>
      <c r="J49" s="513"/>
      <c r="K49" s="498"/>
      <c r="L49" s="498"/>
      <c r="M49" s="498"/>
    </row>
    <row r="50" spans="1:16">
      <c r="A50" s="498"/>
      <c r="B50" s="498"/>
      <c r="C50" s="498"/>
      <c r="D50" s="499"/>
      <c r="F50" s="500"/>
      <c r="G50" s="500"/>
      <c r="H50" s="500"/>
      <c r="I50" s="500"/>
      <c r="J50" s="513"/>
      <c r="K50" s="498"/>
      <c r="L50" s="498"/>
      <c r="M50" s="498"/>
    </row>
    <row r="51" spans="1:16">
      <c r="A51" s="498"/>
      <c r="B51" s="498"/>
      <c r="C51" s="498"/>
      <c r="D51" s="499"/>
      <c r="F51" s="501"/>
      <c r="G51" s="501"/>
      <c r="H51" s="514"/>
      <c r="I51" s="500"/>
      <c r="J51" s="502"/>
      <c r="K51" s="498"/>
      <c r="L51" s="498"/>
      <c r="M51" s="498"/>
    </row>
    <row r="52" spans="1:16">
      <c r="A52" s="498"/>
      <c r="B52" s="498"/>
      <c r="C52" s="498"/>
      <c r="D52" s="499"/>
      <c r="F52" s="503"/>
      <c r="G52" s="503"/>
      <c r="H52" s="503"/>
      <c r="I52" s="503"/>
      <c r="J52" s="503"/>
      <c r="K52" s="498"/>
      <c r="L52" s="498"/>
      <c r="M52" s="498"/>
    </row>
    <row r="53" spans="1:16" ht="26.25" customHeight="1">
      <c r="E53" s="498"/>
      <c r="F53" s="498"/>
      <c r="G53" s="498"/>
      <c r="H53" s="498"/>
      <c r="I53" s="498"/>
      <c r="J53" s="498"/>
      <c r="K53" s="498"/>
      <c r="L53" s="498"/>
      <c r="M53" s="498"/>
    </row>
    <row r="54" spans="1:16">
      <c r="A54" s="1417"/>
      <c r="B54" s="1417"/>
      <c r="C54" s="1417"/>
      <c r="D54" s="1417"/>
      <c r="E54" s="1417"/>
      <c r="F54" s="1417"/>
      <c r="G54" s="1417"/>
      <c r="H54" s="1417"/>
      <c r="I54" s="1417"/>
      <c r="J54" s="1417"/>
      <c r="K54" s="498"/>
      <c r="L54" s="498"/>
      <c r="M54" s="498"/>
    </row>
    <row r="55" spans="1:16">
      <c r="A55" s="515"/>
      <c r="B55" s="515"/>
      <c r="C55" s="516"/>
      <c r="D55" s="517"/>
      <c r="E55" s="1038"/>
      <c r="F55" s="1038"/>
      <c r="G55" s="1038"/>
      <c r="H55" s="1038"/>
      <c r="I55" s="1038"/>
      <c r="J55" s="498"/>
      <c r="K55" s="498"/>
      <c r="L55" s="498"/>
      <c r="M55" s="498"/>
    </row>
    <row r="56" spans="1:16">
      <c r="A56" s="515"/>
      <c r="B56" s="515"/>
      <c r="C56" s="516"/>
      <c r="D56" s="517"/>
      <c r="E56" s="1038"/>
      <c r="F56" s="1038"/>
      <c r="G56" s="1038"/>
      <c r="H56" s="1038"/>
      <c r="I56" s="1038"/>
      <c r="J56" s="498"/>
      <c r="K56" s="498"/>
      <c r="L56" s="498"/>
      <c r="M56" s="498"/>
    </row>
    <row r="57" spans="1:16">
      <c r="A57" s="518"/>
      <c r="B57" s="518"/>
      <c r="C57" s="519"/>
      <c r="D57" s="519"/>
      <c r="E57" s="519"/>
      <c r="F57" s="518"/>
      <c r="H57" s="519"/>
      <c r="I57" s="519"/>
      <c r="J57" s="498"/>
      <c r="K57" s="498"/>
      <c r="L57" s="498"/>
      <c r="M57" s="498"/>
    </row>
    <row r="58" spans="1:16">
      <c r="A58" s="520"/>
      <c r="B58" s="520"/>
      <c r="C58" s="519"/>
      <c r="D58" s="521"/>
      <c r="E58" s="521"/>
      <c r="F58" s="520"/>
      <c r="G58" s="520"/>
      <c r="H58" s="519"/>
      <c r="I58" s="522"/>
      <c r="J58" s="498"/>
      <c r="K58" s="498"/>
      <c r="L58" s="498"/>
      <c r="M58" s="498"/>
    </row>
    <row r="59" spans="1:16" ht="21" customHeight="1">
      <c r="A59" s="1365" t="s">
        <v>115</v>
      </c>
      <c r="B59" s="1365"/>
      <c r="C59" s="1365"/>
      <c r="D59" s="1365"/>
      <c r="E59" s="1365"/>
      <c r="F59" s="1365"/>
      <c r="G59" s="1365"/>
      <c r="H59" s="1365"/>
      <c r="I59" s="1365"/>
      <c r="J59" s="1365"/>
      <c r="K59" s="498"/>
      <c r="L59" s="498"/>
      <c r="M59" s="498"/>
    </row>
    <row r="60" spans="1:16">
      <c r="A60" s="515"/>
      <c r="B60" s="515"/>
      <c r="C60" s="516"/>
      <c r="D60" s="517"/>
      <c r="E60" s="1038"/>
      <c r="F60" s="1038"/>
      <c r="G60" s="1038"/>
      <c r="H60" s="1038"/>
      <c r="I60" s="1038"/>
      <c r="J60" s="498"/>
      <c r="K60" s="498"/>
      <c r="L60" s="498"/>
      <c r="M60" s="498"/>
    </row>
    <row r="61" spans="1:16">
      <c r="A61" s="515"/>
      <c r="B61" s="515"/>
      <c r="C61" s="516"/>
      <c r="D61" s="517"/>
      <c r="E61" s="1038"/>
      <c r="F61" s="1038"/>
      <c r="G61" s="1038"/>
      <c r="H61" s="1038"/>
      <c r="I61" s="1038"/>
      <c r="J61" s="498"/>
      <c r="K61" s="498"/>
      <c r="L61" s="498"/>
      <c r="M61" s="498"/>
    </row>
    <row r="62" spans="1:16">
      <c r="A62" s="515"/>
      <c r="B62" s="515"/>
      <c r="C62" s="516"/>
      <c r="D62" s="517"/>
      <c r="E62" s="1038"/>
      <c r="F62" s="1038"/>
      <c r="G62" s="1038"/>
      <c r="H62" s="1038"/>
      <c r="I62" s="1038"/>
      <c r="J62" s="498"/>
      <c r="K62" s="498"/>
      <c r="L62" s="498"/>
      <c r="M62" s="498"/>
    </row>
    <row r="63" spans="1:16">
      <c r="A63" s="523"/>
      <c r="B63" s="523"/>
      <c r="C63" s="523"/>
      <c r="D63" s="524"/>
      <c r="E63" s="1038"/>
      <c r="F63" s="1038"/>
      <c r="G63" s="1038"/>
      <c r="H63" s="1038"/>
      <c r="I63" s="1038"/>
      <c r="J63" s="498"/>
      <c r="K63" s="498"/>
      <c r="L63" s="498"/>
      <c r="M63" s="498"/>
    </row>
    <row r="64" spans="1:16">
      <c r="A64" s="518"/>
      <c r="B64" s="518"/>
      <c r="C64" s="519"/>
      <c r="D64" s="519"/>
      <c r="E64" s="519"/>
      <c r="F64" s="519"/>
      <c r="G64" s="518"/>
      <c r="H64" s="519"/>
      <c r="I64" s="519"/>
      <c r="J64" s="519"/>
      <c r="K64" s="519"/>
      <c r="O64" s="519"/>
      <c r="P64" s="519"/>
    </row>
    <row r="65" spans="1:16">
      <c r="A65" s="520"/>
      <c r="B65" s="520"/>
      <c r="C65" s="519"/>
      <c r="D65" s="519"/>
      <c r="E65" s="521"/>
      <c r="G65" s="520"/>
      <c r="H65" s="519"/>
      <c r="I65" s="522"/>
      <c r="J65" s="519"/>
      <c r="O65" s="519"/>
      <c r="P65" s="519"/>
    </row>
    <row r="66" spans="1:16">
      <c r="A66" s="525"/>
      <c r="B66" s="525"/>
      <c r="C66" s="525"/>
      <c r="D66" s="526"/>
      <c r="E66" s="527"/>
      <c r="J66" s="499"/>
      <c r="K66" s="498"/>
      <c r="L66" s="498"/>
      <c r="M66" s="498"/>
    </row>
    <row r="67" spans="1:16">
      <c r="D67" s="527"/>
      <c r="E67" s="527"/>
    </row>
  </sheetData>
  <protectedRanges>
    <protectedRange sqref="G13:G14" name="Rango3_3_1_1_1_2"/>
    <protectedRange sqref="E13:F13" name="Rango3_1_1_1_1_1_1_1"/>
    <protectedRange sqref="C10 C13" name="Rango3_3_1_1_1"/>
  </protectedRanges>
  <mergeCells count="22">
    <mergeCell ref="A7:J7"/>
    <mergeCell ref="A8:J8"/>
    <mergeCell ref="A16:J16"/>
    <mergeCell ref="A20:J20"/>
    <mergeCell ref="G21:H21"/>
    <mergeCell ref="I21:J21"/>
    <mergeCell ref="G22:H22"/>
    <mergeCell ref="G23:H23"/>
    <mergeCell ref="G24:H24"/>
    <mergeCell ref="G25:H25"/>
    <mergeCell ref="G26:H26"/>
    <mergeCell ref="I26:J26"/>
    <mergeCell ref="G27:H27"/>
    <mergeCell ref="I27:J27"/>
    <mergeCell ref="A59:J59"/>
    <mergeCell ref="G28:H28"/>
    <mergeCell ref="I28:J28"/>
    <mergeCell ref="F30:H31"/>
    <mergeCell ref="I30:J31"/>
    <mergeCell ref="A35:J35"/>
    <mergeCell ref="A54:F54"/>
    <mergeCell ref="G54:J54"/>
  </mergeCells>
  <hyperlinks>
    <hyperlink ref="A59" r:id="rId1" display="http://www.geofal.com.pe/" xr:uid="{00000000-0004-0000-03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view="pageBreakPreview" topLeftCell="A16" zoomScaleNormal="100" zoomScaleSheetLayoutView="100" workbookViewId="0">
      <selection activeCell="N17" sqref="N17"/>
    </sheetView>
  </sheetViews>
  <sheetFormatPr baseColWidth="10" defaultColWidth="11.44140625" defaultRowHeight="13.2"/>
  <cols>
    <col min="1" max="1" width="11.44140625" style="469" customWidth="1"/>
    <col min="2" max="2" width="1.33203125" style="469" customWidth="1"/>
    <col min="3" max="3" width="11.44140625" style="469"/>
    <col min="4" max="4" width="8.5546875" style="469" customWidth="1"/>
    <col min="5" max="5" width="15.5546875" style="469" customWidth="1"/>
    <col min="6" max="6" width="18" style="469" customWidth="1"/>
    <col min="7" max="7" width="13.88671875" style="469" customWidth="1"/>
    <col min="8" max="8" width="2.88671875" style="469" customWidth="1"/>
    <col min="9" max="9" width="15.44140625" style="469" customWidth="1"/>
    <col min="10" max="16384" width="11.44140625" style="469"/>
  </cols>
  <sheetData>
    <row r="1" spans="1:15" ht="15.75" customHeight="1" thickTop="1">
      <c r="A1" s="466"/>
      <c r="B1" s="665"/>
      <c r="C1" s="467"/>
      <c r="D1" s="467"/>
      <c r="E1" s="467"/>
      <c r="F1" s="467"/>
      <c r="G1" s="467"/>
      <c r="H1" s="467"/>
      <c r="I1" s="664"/>
      <c r="J1" s="295"/>
      <c r="L1" s="296"/>
    </row>
    <row r="2" spans="1:15" ht="15.75" customHeight="1">
      <c r="A2" s="381"/>
      <c r="B2" s="299"/>
      <c r="C2" s="470"/>
      <c r="D2" s="299"/>
      <c r="E2" s="299"/>
      <c r="F2" s="299"/>
      <c r="G2" s="299"/>
      <c r="H2" s="299"/>
      <c r="I2" s="382"/>
      <c r="J2" s="1037"/>
      <c r="L2" s="300"/>
    </row>
    <row r="3" spans="1:15" ht="15.75" customHeight="1">
      <c r="A3" s="472"/>
      <c r="B3" s="663"/>
      <c r="F3" s="385"/>
      <c r="G3" s="385"/>
      <c r="H3" s="385"/>
      <c r="I3" s="387"/>
      <c r="J3" s="304"/>
      <c r="L3" s="304"/>
    </row>
    <row r="4" spans="1:15" ht="15.75" customHeight="1">
      <c r="A4" s="474"/>
      <c r="B4" s="662"/>
      <c r="C4" s="475"/>
      <c r="F4" s="308"/>
      <c r="G4" s="305"/>
      <c r="H4" s="305"/>
      <c r="I4" s="390"/>
      <c r="J4" s="309"/>
    </row>
    <row r="5" spans="1:15" ht="15.75" customHeight="1">
      <c r="A5" s="474"/>
      <c r="B5" s="662"/>
      <c r="C5" s="475"/>
      <c r="F5" s="308"/>
      <c r="G5" s="305"/>
      <c r="H5" s="305"/>
      <c r="I5" s="390"/>
      <c r="J5" s="309"/>
    </row>
    <row r="6" spans="1:15" ht="15.75" customHeight="1" thickBot="1">
      <c r="A6" s="478"/>
      <c r="B6" s="479"/>
      <c r="C6" s="479"/>
      <c r="D6" s="479"/>
      <c r="E6" s="313"/>
      <c r="F6" s="313"/>
      <c r="G6" s="313"/>
      <c r="H6" s="313"/>
      <c r="I6" s="480"/>
      <c r="J6" s="481"/>
      <c r="K6" s="482"/>
    </row>
    <row r="7" spans="1:15" ht="24" customHeight="1" thickTop="1">
      <c r="A7" s="1430" t="s">
        <v>133</v>
      </c>
      <c r="B7" s="1431"/>
      <c r="C7" s="1431"/>
      <c r="D7" s="1431"/>
      <c r="E7" s="1431"/>
      <c r="F7" s="1431"/>
      <c r="G7" s="1431"/>
      <c r="H7" s="1431"/>
      <c r="I7" s="1432"/>
      <c r="J7" s="661"/>
      <c r="K7" s="661"/>
      <c r="L7" s="661"/>
      <c r="M7" s="661"/>
      <c r="N7" s="661"/>
      <c r="O7" s="661"/>
    </row>
    <row r="8" spans="1:15" ht="24" customHeight="1">
      <c r="A8" s="1358" t="s">
        <v>117</v>
      </c>
      <c r="B8" s="1359"/>
      <c r="C8" s="1359"/>
      <c r="D8" s="1359"/>
      <c r="E8" s="1359"/>
      <c r="F8" s="1359"/>
      <c r="G8" s="1359"/>
      <c r="H8" s="1359"/>
      <c r="I8" s="1360"/>
      <c r="J8" s="654"/>
      <c r="K8" s="654"/>
      <c r="L8" s="654"/>
      <c r="O8" s="660"/>
    </row>
    <row r="9" spans="1:15" ht="10.5" customHeight="1">
      <c r="A9" s="1099"/>
      <c r="B9" s="1100"/>
      <c r="C9" s="1100"/>
      <c r="D9" s="1100"/>
      <c r="E9" s="1100"/>
      <c r="F9" s="1100"/>
      <c r="G9" s="1100"/>
      <c r="H9" s="1100"/>
      <c r="I9" s="1101"/>
      <c r="J9" s="654"/>
      <c r="K9" s="654"/>
      <c r="L9" s="654"/>
      <c r="O9" s="660"/>
    </row>
    <row r="10" spans="1:15" ht="17.100000000000001" customHeight="1">
      <c r="A10" s="647" t="s">
        <v>2</v>
      </c>
      <c r="B10" s="646" t="s">
        <v>3</v>
      </c>
      <c r="C10" s="659" t="str">
        <f>+Gran!C9</f>
        <v>CAME Contratistas y servicios generales S.A.</v>
      </c>
      <c r="D10" s="652"/>
      <c r="E10" s="646"/>
      <c r="G10" s="649" t="s">
        <v>79</v>
      </c>
      <c r="H10" s="648" t="s">
        <v>3</v>
      </c>
      <c r="I10" s="828" t="s">
        <v>134</v>
      </c>
      <c r="K10" s="658"/>
      <c r="L10" s="654"/>
      <c r="O10" s="654"/>
    </row>
    <row r="11" spans="1:15" ht="17.100000000000001" customHeight="1">
      <c r="A11" s="657" t="s">
        <v>5</v>
      </c>
      <c r="B11" s="649" t="s">
        <v>3</v>
      </c>
      <c r="C11" s="656" t="str">
        <f>+Gran!C10</f>
        <v>Mejoramiento de la Carretera JU-1029 tramo PE 22 Pachachaca -Yauli</v>
      </c>
      <c r="D11" s="644"/>
      <c r="E11" s="655"/>
      <c r="F11" s="551"/>
      <c r="G11" s="649" t="s">
        <v>13</v>
      </c>
      <c r="H11" s="648" t="s">
        <v>3</v>
      </c>
      <c r="I11" s="671"/>
      <c r="K11" s="639"/>
      <c r="L11" s="654"/>
      <c r="O11" s="654"/>
    </row>
    <row r="12" spans="1:15" ht="17.100000000000001" customHeight="1">
      <c r="A12" s="647" t="s">
        <v>11</v>
      </c>
      <c r="B12" s="646" t="s">
        <v>3</v>
      </c>
      <c r="C12" s="653" t="str">
        <f>+Gran!C11</f>
        <v>Distrito de Yauli - Junin</v>
      </c>
      <c r="D12" s="652"/>
      <c r="E12" s="651"/>
      <c r="G12" s="649" t="s">
        <v>135</v>
      </c>
      <c r="H12" s="648" t="s">
        <v>3</v>
      </c>
      <c r="I12" s="1029">
        <f>+Gran!O12</f>
        <v>41876</v>
      </c>
      <c r="J12" s="650"/>
      <c r="L12" s="519"/>
      <c r="O12" s="519"/>
    </row>
    <row r="13" spans="1:15" ht="17.100000000000001" customHeight="1">
      <c r="A13" s="647" t="str">
        <f>+Gran!A12</f>
        <v xml:space="preserve">Cantera </v>
      </c>
      <c r="B13" s="646" t="s">
        <v>3</v>
      </c>
      <c r="C13" s="868" t="str">
        <f>+Gran!C12</f>
        <v>Agregados GMC S.R.L. (Rio Yauli - Km. 5+700)</v>
      </c>
      <c r="D13" s="644"/>
      <c r="E13" s="644"/>
      <c r="F13" s="551"/>
      <c r="G13" s="649" t="s">
        <v>83</v>
      </c>
      <c r="H13" s="648" t="s">
        <v>3</v>
      </c>
      <c r="I13" s="673" t="str">
        <f>+Gran!O13</f>
        <v>F.L.G.</v>
      </c>
      <c r="K13" s="639"/>
    </row>
    <row r="14" spans="1:15" ht="17.100000000000001" customHeight="1">
      <c r="A14" s="647" t="s">
        <v>84</v>
      </c>
      <c r="B14" s="646" t="s">
        <v>3</v>
      </c>
      <c r="C14" s="645" t="str">
        <f>+Gran!C13</f>
        <v>Grava para concreto</v>
      </c>
      <c r="D14" s="644"/>
      <c r="E14" s="644"/>
      <c r="F14" s="643"/>
      <c r="G14" s="642"/>
      <c r="H14" s="641"/>
      <c r="I14" s="640"/>
      <c r="J14" s="639"/>
      <c r="K14" s="639"/>
    </row>
    <row r="15" spans="1:15" ht="17.100000000000001" customHeight="1">
      <c r="A15" s="638"/>
      <c r="B15" s="637"/>
      <c r="C15" s="636"/>
      <c r="D15" s="635"/>
      <c r="E15" s="636"/>
      <c r="F15" s="635"/>
      <c r="G15" s="635"/>
      <c r="H15" s="635"/>
      <c r="I15" s="634"/>
    </row>
    <row r="16" spans="1:15" ht="15.9" customHeight="1">
      <c r="A16" s="1433" t="s">
        <v>119</v>
      </c>
      <c r="B16" s="1434"/>
      <c r="C16" s="1434"/>
      <c r="D16" s="1434"/>
      <c r="E16" s="1434"/>
      <c r="F16" s="1434"/>
      <c r="G16" s="1434"/>
      <c r="H16" s="1434"/>
      <c r="I16" s="1435"/>
      <c r="J16" s="484"/>
    </row>
    <row r="17" spans="1:12" ht="15.9" customHeight="1">
      <c r="A17" s="1102" t="s">
        <v>84</v>
      </c>
      <c r="B17" s="1103" t="s">
        <v>3</v>
      </c>
      <c r="C17" s="1104"/>
      <c r="D17" s="1105"/>
      <c r="E17" s="1106"/>
      <c r="F17" s="1104"/>
      <c r="G17" s="1104"/>
      <c r="H17" s="1104"/>
      <c r="I17" s="1107"/>
      <c r="J17" s="483"/>
    </row>
    <row r="18" spans="1:12" ht="15.9" customHeight="1">
      <c r="A18" s="633" t="s">
        <v>120</v>
      </c>
      <c r="B18" s="632" t="s">
        <v>3</v>
      </c>
      <c r="C18" s="631"/>
      <c r="D18" s="630"/>
      <c r="E18" s="629"/>
      <c r="F18" s="628"/>
      <c r="G18" s="628"/>
      <c r="H18" s="628"/>
      <c r="I18" s="627"/>
      <c r="J18" s="483"/>
    </row>
    <row r="19" spans="1:12" ht="15.9" customHeight="1">
      <c r="A19" s="626" t="s">
        <v>121</v>
      </c>
      <c r="B19" s="625" t="s">
        <v>3</v>
      </c>
      <c r="C19" s="624"/>
      <c r="D19" s="623"/>
      <c r="E19" s="622"/>
      <c r="F19" s="621"/>
      <c r="G19" s="620"/>
      <c r="H19" s="620"/>
      <c r="I19" s="619"/>
      <c r="J19" s="483"/>
    </row>
    <row r="20" spans="1:12" ht="15.9" customHeight="1">
      <c r="A20" s="1433" t="s">
        <v>105</v>
      </c>
      <c r="B20" s="1434"/>
      <c r="C20" s="1434"/>
      <c r="D20" s="1434"/>
      <c r="E20" s="1434"/>
      <c r="F20" s="1434"/>
      <c r="G20" s="1434"/>
      <c r="H20" s="1434"/>
      <c r="I20" s="1435"/>
      <c r="J20" s="498"/>
      <c r="K20" s="498"/>
      <c r="L20" s="498"/>
    </row>
    <row r="21" spans="1:12" ht="15.9" customHeight="1">
      <c r="A21" s="618" t="s">
        <v>122</v>
      </c>
      <c r="B21" s="1098"/>
      <c r="C21" s="1098"/>
      <c r="D21" s="1098"/>
      <c r="E21" s="617">
        <v>1</v>
      </c>
      <c r="F21" s="617">
        <v>2</v>
      </c>
      <c r="G21" s="1427">
        <v>3</v>
      </c>
      <c r="H21" s="1428"/>
      <c r="I21" s="616">
        <v>4</v>
      </c>
      <c r="J21" s="498"/>
      <c r="K21" s="498"/>
      <c r="L21" s="498"/>
    </row>
    <row r="22" spans="1:12" ht="15.9" customHeight="1">
      <c r="A22" s="615" t="s">
        <v>136</v>
      </c>
      <c r="B22" s="614"/>
      <c r="C22" s="613"/>
      <c r="D22" s="612"/>
      <c r="E22" s="858">
        <v>16276</v>
      </c>
      <c r="F22" s="858">
        <v>16280</v>
      </c>
      <c r="G22" s="1441">
        <v>16201</v>
      </c>
      <c r="H22" s="1442"/>
      <c r="I22" s="861" t="s">
        <v>124</v>
      </c>
      <c r="J22" s="498"/>
      <c r="K22" s="498"/>
      <c r="L22" s="498"/>
    </row>
    <row r="23" spans="1:12" ht="15.9" customHeight="1">
      <c r="A23" s="604" t="s">
        <v>125</v>
      </c>
      <c r="B23" s="603"/>
      <c r="C23" s="602"/>
      <c r="D23" s="1036"/>
      <c r="E23" s="857">
        <v>6665</v>
      </c>
      <c r="F23" s="611">
        <f>+E23</f>
        <v>6665</v>
      </c>
      <c r="G23" s="1420">
        <f>+E23</f>
        <v>6665</v>
      </c>
      <c r="H23" s="1421"/>
      <c r="I23" s="607" t="s">
        <v>124</v>
      </c>
      <c r="J23" s="498"/>
      <c r="K23" s="498"/>
      <c r="L23" s="498"/>
    </row>
    <row r="24" spans="1:12" ht="15.9" customHeight="1">
      <c r="A24" s="604" t="s">
        <v>137</v>
      </c>
      <c r="B24" s="603"/>
      <c r="C24" s="602"/>
      <c r="D24" s="1036"/>
      <c r="E24" s="610">
        <f>E22-E23</f>
        <v>9611</v>
      </c>
      <c r="F24" s="610">
        <f>F22-F23</f>
        <v>9615</v>
      </c>
      <c r="G24" s="1422">
        <f>G22-G23</f>
        <v>9536</v>
      </c>
      <c r="H24" s="1423"/>
      <c r="I24" s="609" t="s">
        <v>124</v>
      </c>
      <c r="J24" s="498"/>
      <c r="K24" s="498"/>
      <c r="L24" s="498"/>
    </row>
    <row r="25" spans="1:12" ht="15.9" customHeight="1">
      <c r="A25" s="604" t="s">
        <v>127</v>
      </c>
      <c r="B25" s="603"/>
      <c r="C25" s="602"/>
      <c r="D25" s="1036"/>
      <c r="E25" s="860">
        <v>5626</v>
      </c>
      <c r="F25" s="608">
        <f>+E25</f>
        <v>5626</v>
      </c>
      <c r="G25" s="1424">
        <f>+E25</f>
        <v>5626</v>
      </c>
      <c r="H25" s="1425"/>
      <c r="I25" s="607" t="s">
        <v>128</v>
      </c>
      <c r="J25" s="498"/>
      <c r="K25" s="498"/>
      <c r="L25" s="498"/>
    </row>
    <row r="26" spans="1:12" ht="15.9" customHeight="1">
      <c r="A26" s="604" t="s">
        <v>138</v>
      </c>
      <c r="B26" s="603"/>
      <c r="C26" s="602"/>
      <c r="D26" s="1036"/>
      <c r="E26" s="606">
        <f>+E24/E25</f>
        <v>1.7083185211517953</v>
      </c>
      <c r="F26" s="606">
        <f>+F24/F25</f>
        <v>1.709029505865624</v>
      </c>
      <c r="G26" s="1398">
        <f>+G24/G25</f>
        <v>1.694987557767508</v>
      </c>
      <c r="H26" s="1426"/>
      <c r="I26" s="605"/>
      <c r="J26" s="498"/>
      <c r="K26" s="498"/>
      <c r="L26" s="498"/>
    </row>
    <row r="27" spans="1:12" ht="15.9" customHeight="1">
      <c r="A27" s="604" t="s">
        <v>130</v>
      </c>
      <c r="B27" s="603"/>
      <c r="C27" s="602"/>
      <c r="D27" s="1036"/>
      <c r="E27" s="856">
        <v>1.3</v>
      </c>
      <c r="F27" s="601">
        <f>+E27</f>
        <v>1.3</v>
      </c>
      <c r="G27" s="1400">
        <f>+E27</f>
        <v>1.3</v>
      </c>
      <c r="H27" s="1401"/>
      <c r="I27" s="600"/>
      <c r="J27" s="498"/>
      <c r="K27" s="498"/>
      <c r="L27" s="498"/>
    </row>
    <row r="28" spans="1:12" ht="15.9" customHeight="1">
      <c r="A28" s="599" t="s">
        <v>139</v>
      </c>
      <c r="B28" s="598"/>
      <c r="C28" s="597"/>
      <c r="D28" s="596"/>
      <c r="E28" s="595">
        <f>+E26/(1+(E27/100))</f>
        <v>1.6863953811962442</v>
      </c>
      <c r="F28" s="595">
        <f>+F26/(1+(F27/100))</f>
        <v>1.6870972417232222</v>
      </c>
      <c r="G28" s="1403">
        <f>+G26/(1+(G27/100))</f>
        <v>1.6732354963154079</v>
      </c>
      <c r="H28" s="1404"/>
      <c r="I28" s="594"/>
      <c r="J28" s="498"/>
      <c r="K28" s="498"/>
      <c r="L28" s="498"/>
    </row>
    <row r="29" spans="1:12" ht="14.4" thickBot="1">
      <c r="A29" s="575"/>
      <c r="B29" s="575"/>
      <c r="C29" s="575"/>
      <c r="D29" s="577"/>
      <c r="E29" s="577"/>
      <c r="F29" s="580"/>
      <c r="G29" s="575"/>
      <c r="H29" s="575"/>
      <c r="I29" s="575"/>
      <c r="J29" s="498"/>
      <c r="K29" s="498"/>
      <c r="L29" s="498"/>
    </row>
    <row r="30" spans="1:12" ht="13.5" customHeight="1" thickTop="1">
      <c r="A30" s="575"/>
      <c r="B30" s="575"/>
      <c r="C30" s="575"/>
      <c r="D30" s="577"/>
      <c r="E30" s="575"/>
      <c r="F30" s="1438" t="s">
        <v>140</v>
      </c>
      <c r="G30" s="1406"/>
      <c r="H30" s="1437">
        <f>AVERAGE(E28:I28)</f>
        <v>1.6822427064116248</v>
      </c>
      <c r="I30" s="1438"/>
      <c r="J30" s="498"/>
      <c r="K30" s="498"/>
      <c r="L30" s="498"/>
    </row>
    <row r="31" spans="1:12" ht="15" customHeight="1" thickBot="1">
      <c r="A31" s="575"/>
      <c r="B31" s="575"/>
      <c r="C31" s="575"/>
      <c r="D31" s="577"/>
      <c r="E31" s="575"/>
      <c r="F31" s="1440"/>
      <c r="G31" s="1409"/>
      <c r="H31" s="1439"/>
      <c r="I31" s="1440"/>
      <c r="J31" s="498"/>
      <c r="K31" s="498"/>
      <c r="L31" s="498"/>
    </row>
    <row r="32" spans="1:12" ht="14.4" thickTop="1">
      <c r="A32" s="575"/>
      <c r="B32" s="575"/>
      <c r="C32" s="575"/>
      <c r="D32" s="577"/>
      <c r="E32" s="575"/>
      <c r="F32" s="593"/>
      <c r="G32" s="592"/>
      <c r="H32" s="592"/>
      <c r="I32" s="591"/>
      <c r="J32" s="498"/>
      <c r="K32" s="498"/>
      <c r="L32" s="498"/>
    </row>
    <row r="33" spans="1:12" ht="13.8">
      <c r="A33" s="575"/>
      <c r="B33" s="575"/>
      <c r="C33" s="575"/>
      <c r="D33" s="577"/>
      <c r="E33" s="575"/>
      <c r="F33" s="590"/>
      <c r="G33" s="590"/>
      <c r="H33" s="589"/>
      <c r="I33" s="587"/>
      <c r="J33" s="498"/>
      <c r="K33" s="498"/>
      <c r="L33" s="498"/>
    </row>
    <row r="34" spans="1:12" ht="13.8">
      <c r="A34" s="575"/>
      <c r="B34" s="575"/>
      <c r="C34" s="575"/>
      <c r="D34" s="575"/>
      <c r="E34" s="575"/>
      <c r="F34" s="587"/>
      <c r="G34" s="587"/>
      <c r="H34" s="588"/>
      <c r="I34" s="587"/>
      <c r="J34" s="498"/>
      <c r="K34" s="498"/>
      <c r="L34" s="498"/>
    </row>
    <row r="35" spans="1:12" ht="13.8">
      <c r="A35" s="586"/>
      <c r="B35" s="586"/>
      <c r="C35" s="586"/>
      <c r="D35" s="586"/>
      <c r="E35" s="586"/>
      <c r="F35" s="586"/>
      <c r="G35" s="586"/>
      <c r="H35" s="586"/>
      <c r="I35" s="586"/>
      <c r="J35" s="498"/>
      <c r="K35" s="498"/>
      <c r="L35" s="498"/>
    </row>
    <row r="36" spans="1:12" ht="13.8">
      <c r="A36" s="575"/>
      <c r="B36" s="575"/>
      <c r="C36" s="575"/>
      <c r="D36" s="575"/>
      <c r="E36" s="575"/>
      <c r="F36" s="575"/>
      <c r="G36" s="575"/>
      <c r="H36" s="575"/>
      <c r="I36" s="575"/>
      <c r="J36" s="498"/>
      <c r="K36" s="498"/>
      <c r="L36" s="498"/>
    </row>
    <row r="37" spans="1:12" ht="13.8">
      <c r="A37" s="577"/>
      <c r="B37" s="577"/>
      <c r="C37" s="575"/>
      <c r="D37" s="577"/>
      <c r="E37" s="575"/>
      <c r="F37" s="582"/>
      <c r="G37" s="583"/>
      <c r="H37" s="583"/>
      <c r="I37" s="582"/>
      <c r="J37" s="498"/>
      <c r="K37" s="498"/>
      <c r="L37" s="498"/>
    </row>
    <row r="38" spans="1:12" ht="13.8">
      <c r="A38" s="577"/>
      <c r="B38" s="577"/>
      <c r="C38" s="575"/>
      <c r="D38" s="577"/>
      <c r="E38" s="575"/>
      <c r="F38" s="584"/>
      <c r="G38" s="583"/>
      <c r="H38" s="583"/>
      <c r="I38" s="582"/>
      <c r="J38" s="498"/>
      <c r="K38" s="498"/>
      <c r="L38" s="498"/>
    </row>
    <row r="39" spans="1:12" ht="13.8">
      <c r="A39" s="577"/>
      <c r="B39" s="577"/>
      <c r="C39" s="575"/>
      <c r="D39" s="577"/>
      <c r="E39" s="575"/>
      <c r="F39" s="585"/>
      <c r="G39" s="581"/>
      <c r="H39" s="581"/>
      <c r="I39" s="581"/>
      <c r="J39" s="498"/>
      <c r="K39" s="498"/>
      <c r="L39" s="498"/>
    </row>
    <row r="40" spans="1:12" ht="13.8">
      <c r="A40" s="577"/>
      <c r="B40" s="577"/>
      <c r="C40" s="575"/>
      <c r="D40" s="577"/>
      <c r="E40" s="575"/>
      <c r="F40" s="584"/>
      <c r="G40" s="583"/>
      <c r="H40" s="583"/>
      <c r="I40" s="582"/>
      <c r="J40" s="498"/>
      <c r="K40" s="498"/>
      <c r="L40" s="498"/>
    </row>
    <row r="41" spans="1:12" ht="13.8">
      <c r="A41" s="577"/>
      <c r="B41" s="577"/>
      <c r="C41" s="575"/>
      <c r="D41" s="577"/>
      <c r="E41" s="575"/>
      <c r="F41" s="581"/>
      <c r="G41" s="581"/>
      <c r="H41" s="581"/>
      <c r="I41" s="581"/>
      <c r="J41" s="498"/>
      <c r="K41" s="498"/>
      <c r="L41" s="498"/>
    </row>
    <row r="42" spans="1:12" ht="13.8">
      <c r="A42" s="575"/>
      <c r="B42" s="575"/>
      <c r="C42" s="575"/>
      <c r="D42" s="577"/>
      <c r="E42" s="575"/>
      <c r="F42" s="580"/>
      <c r="G42" s="580"/>
      <c r="H42" s="580"/>
      <c r="I42" s="580"/>
      <c r="J42" s="498"/>
      <c r="K42" s="498"/>
      <c r="L42" s="498"/>
    </row>
    <row r="43" spans="1:12" ht="13.8">
      <c r="A43" s="575"/>
      <c r="B43" s="575"/>
      <c r="C43" s="575"/>
      <c r="D43" s="577"/>
      <c r="E43" s="575"/>
      <c r="F43" s="580"/>
      <c r="G43" s="580"/>
      <c r="H43" s="580"/>
      <c r="I43" s="580"/>
      <c r="J43" s="498"/>
      <c r="K43" s="498"/>
      <c r="L43" s="498"/>
    </row>
    <row r="44" spans="1:12" ht="13.8">
      <c r="A44" s="575"/>
      <c r="B44" s="575"/>
      <c r="C44" s="575"/>
      <c r="D44" s="577"/>
      <c r="E44" s="575"/>
      <c r="F44" s="580"/>
      <c r="G44" s="580"/>
      <c r="H44" s="580"/>
      <c r="I44" s="580"/>
      <c r="J44" s="498"/>
      <c r="K44" s="498"/>
      <c r="L44" s="498"/>
    </row>
    <row r="45" spans="1:12" ht="13.8">
      <c r="A45" s="575"/>
      <c r="B45" s="575"/>
      <c r="C45" s="575"/>
      <c r="D45" s="577"/>
      <c r="E45" s="575"/>
      <c r="F45" s="579"/>
      <c r="G45" s="579"/>
      <c r="H45" s="579"/>
      <c r="I45" s="578"/>
      <c r="J45" s="498"/>
      <c r="K45" s="498"/>
      <c r="L45" s="498"/>
    </row>
    <row r="46" spans="1:12" ht="13.8">
      <c r="A46" s="575"/>
      <c r="B46" s="575"/>
      <c r="C46" s="575"/>
      <c r="D46" s="577"/>
      <c r="E46" s="575"/>
      <c r="F46" s="576"/>
      <c r="G46" s="576"/>
      <c r="H46" s="576"/>
      <c r="I46" s="576"/>
      <c r="J46" s="498"/>
      <c r="K46" s="498"/>
      <c r="L46" s="498"/>
    </row>
    <row r="47" spans="1:12" ht="13.8">
      <c r="A47" s="575"/>
      <c r="B47" s="575"/>
      <c r="C47" s="575"/>
      <c r="D47" s="577"/>
      <c r="E47" s="575"/>
      <c r="F47" s="576"/>
      <c r="G47" s="576"/>
      <c r="H47" s="576"/>
      <c r="I47" s="576"/>
      <c r="J47" s="498"/>
      <c r="K47" s="498"/>
      <c r="L47" s="498"/>
    </row>
    <row r="48" spans="1:12" ht="13.8">
      <c r="A48" s="575"/>
      <c r="B48" s="575"/>
      <c r="C48" s="575"/>
      <c r="D48" s="577"/>
      <c r="E48" s="575"/>
      <c r="F48" s="576"/>
      <c r="G48" s="576"/>
      <c r="H48" s="576"/>
      <c r="I48" s="576"/>
      <c r="J48" s="498"/>
      <c r="K48" s="498"/>
      <c r="L48" s="498"/>
    </row>
    <row r="49" spans="1:15" ht="13.8">
      <c r="A49" s="575"/>
      <c r="B49" s="575"/>
      <c r="C49" s="575"/>
      <c r="D49" s="575"/>
      <c r="E49" s="575"/>
      <c r="F49" s="575"/>
      <c r="G49" s="575"/>
      <c r="H49" s="575"/>
      <c r="I49" s="575"/>
      <c r="J49" s="498"/>
      <c r="K49" s="498"/>
      <c r="L49" s="498"/>
    </row>
    <row r="50" spans="1:15" ht="13.8">
      <c r="A50" s="1436"/>
      <c r="B50" s="1436"/>
      <c r="C50" s="1436"/>
      <c r="D50" s="1436"/>
      <c r="E50" s="1436"/>
      <c r="F50" s="1436"/>
      <c r="G50" s="1436"/>
      <c r="H50" s="1436"/>
      <c r="I50" s="1436"/>
      <c r="J50" s="498"/>
      <c r="K50" s="498"/>
      <c r="L50" s="498"/>
    </row>
    <row r="51" spans="1:15" ht="13.8">
      <c r="A51" s="1039"/>
      <c r="B51" s="1039"/>
      <c r="C51" s="1039"/>
      <c r="D51" s="1039"/>
      <c r="E51" s="1039"/>
      <c r="F51" s="1039"/>
      <c r="G51" s="1039"/>
      <c r="H51" s="1039"/>
      <c r="I51" s="1039"/>
      <c r="J51" s="498"/>
      <c r="K51" s="498"/>
      <c r="L51" s="498"/>
    </row>
    <row r="52" spans="1:15" ht="13.8">
      <c r="A52" s="1039"/>
      <c r="B52" s="1039"/>
      <c r="C52" s="1039"/>
      <c r="D52" s="1039"/>
      <c r="E52" s="1039"/>
      <c r="F52" s="1039"/>
      <c r="G52" s="1039"/>
      <c r="H52" s="1039"/>
      <c r="I52" s="1039"/>
      <c r="J52" s="498"/>
      <c r="K52" s="498"/>
      <c r="L52" s="498"/>
    </row>
    <row r="53" spans="1:15" ht="13.8">
      <c r="A53" s="1039"/>
      <c r="B53" s="1039"/>
      <c r="C53" s="1039"/>
      <c r="D53" s="1039"/>
      <c r="E53" s="1039"/>
      <c r="F53" s="1039"/>
      <c r="G53" s="1039"/>
      <c r="H53" s="1039"/>
      <c r="I53" s="1039"/>
      <c r="J53" s="498"/>
      <c r="K53" s="498"/>
      <c r="L53" s="498"/>
    </row>
    <row r="54" spans="1:15" ht="14.4">
      <c r="A54" s="574"/>
      <c r="B54" s="574"/>
      <c r="C54" s="573"/>
      <c r="D54" s="572"/>
      <c r="E54" s="1039"/>
      <c r="F54" s="1039"/>
      <c r="G54" s="1039"/>
      <c r="H54" s="1039"/>
      <c r="I54" s="1039"/>
      <c r="J54" s="498"/>
      <c r="K54" s="498"/>
      <c r="L54" s="498"/>
    </row>
    <row r="55" spans="1:15">
      <c r="A55" s="515"/>
      <c r="B55" s="515"/>
      <c r="C55" s="516"/>
      <c r="D55" s="517"/>
      <c r="E55" s="1038"/>
      <c r="F55" s="1038"/>
      <c r="G55" s="1038"/>
      <c r="H55" s="1038"/>
      <c r="I55" s="1038"/>
      <c r="J55" s="498"/>
      <c r="K55" s="498"/>
      <c r="L55" s="498"/>
    </row>
    <row r="56" spans="1:15">
      <c r="A56" s="518"/>
      <c r="B56" s="518"/>
      <c r="C56" s="519"/>
      <c r="D56" s="519"/>
      <c r="E56" s="519"/>
      <c r="F56" s="518"/>
      <c r="I56" s="519"/>
      <c r="J56" s="498"/>
      <c r="K56" s="498"/>
      <c r="L56" s="498"/>
    </row>
    <row r="57" spans="1:15">
      <c r="A57" s="520"/>
      <c r="B57" s="520"/>
      <c r="C57" s="519"/>
      <c r="D57" s="521"/>
      <c r="E57" s="521"/>
      <c r="F57" s="520"/>
      <c r="G57" s="520"/>
      <c r="H57" s="520"/>
      <c r="I57" s="519"/>
      <c r="J57" s="498"/>
      <c r="K57" s="498"/>
      <c r="L57" s="498"/>
    </row>
    <row r="58" spans="1:15" ht="23.25" customHeight="1">
      <c r="A58" s="1365" t="s">
        <v>115</v>
      </c>
      <c r="B58" s="1365"/>
      <c r="C58" s="1365"/>
      <c r="D58" s="1365"/>
      <c r="E58" s="1365"/>
      <c r="F58" s="1365"/>
      <c r="G58" s="1365"/>
      <c r="H58" s="1365"/>
      <c r="I58" s="1365"/>
      <c r="J58" s="571"/>
      <c r="K58" s="571"/>
      <c r="L58" s="571"/>
      <c r="M58" s="571"/>
    </row>
    <row r="59" spans="1:15">
      <c r="A59" s="515"/>
      <c r="B59" s="515"/>
      <c r="C59" s="516"/>
      <c r="D59" s="517"/>
      <c r="E59" s="1038"/>
      <c r="F59" s="1038"/>
      <c r="G59" s="1038"/>
      <c r="H59" s="1038"/>
      <c r="I59" s="1038"/>
      <c r="J59" s="498"/>
      <c r="K59" s="498"/>
      <c r="L59" s="498"/>
    </row>
    <row r="60" spans="1:15">
      <c r="A60" s="515"/>
      <c r="B60" s="515"/>
      <c r="C60" s="516"/>
      <c r="D60" s="517"/>
      <c r="E60" s="1038"/>
      <c r="F60" s="1038"/>
      <c r="G60" s="1038"/>
      <c r="H60" s="1038"/>
      <c r="I60" s="1038"/>
      <c r="J60" s="498"/>
      <c r="K60" s="498"/>
      <c r="L60" s="498"/>
    </row>
    <row r="61" spans="1:15">
      <c r="A61" s="515"/>
      <c r="B61" s="515"/>
      <c r="C61" s="516"/>
      <c r="D61" s="517"/>
      <c r="E61" s="1038"/>
      <c r="F61" s="1038"/>
      <c r="G61" s="1038"/>
      <c r="H61" s="1038"/>
      <c r="I61" s="1038"/>
      <c r="J61" s="498"/>
      <c r="K61" s="498"/>
      <c r="L61" s="498"/>
    </row>
    <row r="62" spans="1:15">
      <c r="A62" s="523"/>
      <c r="B62" s="523"/>
      <c r="C62" s="523"/>
      <c r="D62" s="524"/>
      <c r="E62" s="1038"/>
      <c r="F62" s="1038"/>
      <c r="G62" s="1038"/>
      <c r="H62" s="1038"/>
      <c r="I62" s="1038"/>
      <c r="J62" s="498"/>
      <c r="K62" s="498"/>
      <c r="L62" s="498"/>
    </row>
    <row r="63" spans="1:15">
      <c r="A63" s="518"/>
      <c r="B63" s="518"/>
      <c r="C63" s="519"/>
      <c r="D63" s="519"/>
      <c r="E63" s="519"/>
      <c r="F63" s="519"/>
      <c r="G63" s="518"/>
      <c r="H63" s="518"/>
      <c r="I63" s="519"/>
      <c r="J63" s="519"/>
      <c r="N63" s="519"/>
      <c r="O63" s="519"/>
    </row>
    <row r="64" spans="1:15">
      <c r="A64" s="520"/>
      <c r="B64" s="520"/>
      <c r="C64" s="519"/>
      <c r="D64" s="519"/>
      <c r="E64" s="521"/>
      <c r="G64" s="520"/>
      <c r="H64" s="520"/>
      <c r="I64" s="519"/>
      <c r="N64" s="519"/>
      <c r="O64" s="519"/>
    </row>
    <row r="65" spans="1:12">
      <c r="A65" s="525"/>
      <c r="B65" s="525"/>
      <c r="C65" s="525"/>
      <c r="D65" s="526"/>
      <c r="E65" s="527"/>
      <c r="J65" s="498"/>
      <c r="K65" s="498"/>
      <c r="L65" s="498"/>
    </row>
    <row r="66" spans="1:12">
      <c r="D66" s="527"/>
      <c r="E66" s="527"/>
    </row>
  </sheetData>
  <protectedRanges>
    <protectedRange sqref="F14 C10 C13 G13:H13 H14" name="Rango3_3_1_1_1_2"/>
    <protectedRange sqref="E13" name="Rango3_1_1_1_1_1_1_1"/>
  </protectedRanges>
  <mergeCells count="17">
    <mergeCell ref="G26:H26"/>
    <mergeCell ref="G27:H27"/>
    <mergeCell ref="G28:H28"/>
    <mergeCell ref="A58:I58"/>
    <mergeCell ref="A7:I7"/>
    <mergeCell ref="A16:I16"/>
    <mergeCell ref="A50:F50"/>
    <mergeCell ref="G50:I50"/>
    <mergeCell ref="A20:I20"/>
    <mergeCell ref="H30:I31"/>
    <mergeCell ref="F30:G31"/>
    <mergeCell ref="G21:H21"/>
    <mergeCell ref="G22:H22"/>
    <mergeCell ref="G23:H23"/>
    <mergeCell ref="A8:I8"/>
    <mergeCell ref="G24:H24"/>
    <mergeCell ref="G25:H25"/>
  </mergeCells>
  <hyperlinks>
    <hyperlink ref="A58" r:id="rId1" display="http://www.geofal.com.pe/" xr:uid="{00000000-0004-0000-04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workbookViewId="0">
      <selection activeCell="K35" sqref="K35"/>
    </sheetView>
  </sheetViews>
  <sheetFormatPr baseColWidth="10" defaultColWidth="11.44140625" defaultRowHeight="13.2"/>
  <cols>
    <col min="1" max="1" width="3" style="469" customWidth="1"/>
    <col min="2" max="2" width="8.109375" style="469" customWidth="1"/>
    <col min="3" max="3" width="11.44140625" style="469"/>
    <col min="4" max="4" width="15.33203125" style="469" customWidth="1"/>
    <col min="5" max="5" width="13.6640625" style="469" customWidth="1"/>
    <col min="6" max="6" width="12.109375" style="469" customWidth="1"/>
    <col min="7" max="7" width="11.5546875" style="469" bestFit="1" customWidth="1"/>
    <col min="8" max="16384" width="11.44140625" style="469"/>
  </cols>
  <sheetData>
    <row r="1" spans="1:9" ht="10.5" customHeight="1" thickTop="1">
      <c r="A1" s="528"/>
      <c r="B1" s="529"/>
      <c r="C1" s="529"/>
      <c r="D1" s="529"/>
      <c r="E1" s="529"/>
      <c r="F1" s="529"/>
      <c r="G1" s="529"/>
      <c r="H1" s="530"/>
    </row>
    <row r="2" spans="1:9" ht="10.5" customHeight="1">
      <c r="A2" s="531"/>
      <c r="B2" s="532"/>
      <c r="D2" s="533"/>
      <c r="E2" s="532"/>
      <c r="F2" s="532"/>
      <c r="G2" s="532"/>
      <c r="H2" s="534"/>
    </row>
    <row r="3" spans="1:9" ht="10.5" customHeight="1">
      <c r="A3" s="535"/>
      <c r="H3" s="536"/>
    </row>
    <row r="4" spans="1:9" ht="10.5" customHeight="1">
      <c r="A4" s="535"/>
      <c r="B4" s="537"/>
      <c r="C4" s="537"/>
      <c r="D4" s="537"/>
      <c r="E4" s="537"/>
      <c r="F4" s="537"/>
      <c r="G4" s="537"/>
      <c r="H4" s="538"/>
    </row>
    <row r="5" spans="1:9" ht="10.5" customHeight="1">
      <c r="A5" s="535"/>
      <c r="B5" s="537"/>
      <c r="C5" s="537"/>
      <c r="D5" s="537"/>
      <c r="E5" s="537"/>
      <c r="F5" s="537"/>
      <c r="G5" s="537"/>
      <c r="H5" s="538"/>
    </row>
    <row r="6" spans="1:9" ht="10.5" customHeight="1">
      <c r="A6" s="535"/>
      <c r="B6" s="537"/>
      <c r="C6" s="537"/>
      <c r="D6" s="537"/>
      <c r="E6" s="537"/>
      <c r="F6" s="537"/>
      <c r="G6" s="537"/>
      <c r="H6" s="538"/>
    </row>
    <row r="7" spans="1:9" ht="10.5" customHeight="1">
      <c r="A7" s="535"/>
      <c r="B7" s="537"/>
      <c r="C7" s="537"/>
      <c r="D7" s="537"/>
      <c r="E7" s="537"/>
      <c r="F7" s="537"/>
      <c r="G7" s="537"/>
      <c r="H7" s="538"/>
    </row>
    <row r="8" spans="1:9" ht="3.75" customHeight="1" thickBot="1">
      <c r="A8" s="539"/>
      <c r="B8" s="540"/>
      <c r="C8" s="540"/>
      <c r="D8" s="540"/>
      <c r="E8" s="540"/>
      <c r="F8" s="540"/>
      <c r="G8" s="540"/>
      <c r="H8" s="541"/>
    </row>
    <row r="9" spans="1:9" ht="13.5" customHeight="1" thickTop="1">
      <c r="A9" s="1459" t="s">
        <v>141</v>
      </c>
      <c r="B9" s="1459"/>
      <c r="C9" s="1459"/>
      <c r="D9" s="1459"/>
      <c r="E9" s="1459"/>
      <c r="F9" s="1459"/>
      <c r="G9" s="1459"/>
      <c r="H9" s="1459"/>
    </row>
    <row r="10" spans="1:9" ht="13.5" customHeight="1">
      <c r="A10" s="1460" t="s">
        <v>142</v>
      </c>
      <c r="B10" s="1460"/>
      <c r="C10" s="1460"/>
      <c r="D10" s="1460"/>
      <c r="E10" s="1460"/>
      <c r="F10" s="1460"/>
      <c r="G10" s="1460"/>
      <c r="H10" s="1460"/>
    </row>
    <row r="11" spans="1:9" ht="13.5" customHeight="1">
      <c r="A11" s="1461" t="s">
        <v>143</v>
      </c>
      <c r="B11" s="1462"/>
      <c r="C11" s="1462"/>
      <c r="D11" s="1462"/>
      <c r="E11" s="1462"/>
      <c r="F11" s="1462"/>
      <c r="G11" s="1462"/>
      <c r="H11" s="1463"/>
      <c r="I11" s="542"/>
    </row>
    <row r="12" spans="1:9" ht="13.5" customHeight="1">
      <c r="A12" s="1108" t="s">
        <v>144</v>
      </c>
      <c r="B12" s="1109"/>
      <c r="C12" s="1110" t="str">
        <f>+'[4]G-Con'!C7</f>
        <v>Mejoramiento y ampliacion de los sistemas de agua potable, alcantarillado y tratamiento de aguas residuales</v>
      </c>
      <c r="D12" s="1111"/>
      <c r="E12" s="1111"/>
      <c r="F12" s="1111"/>
      <c r="G12" s="1111"/>
      <c r="H12" s="1112"/>
    </row>
    <row r="13" spans="1:9" ht="12.75" customHeight="1">
      <c r="A13" s="543" t="str">
        <f>+'[4]G-Con'!A8</f>
        <v>Ubicación</v>
      </c>
      <c r="C13" s="484" t="str">
        <f>+'[4]G-Con'!C8</f>
        <v>Jaen-Cajamarca-Peru</v>
      </c>
      <c r="D13" s="537"/>
      <c r="E13" s="537"/>
      <c r="F13" s="537"/>
      <c r="G13" s="537"/>
      <c r="H13" s="544"/>
    </row>
    <row r="14" spans="1:9">
      <c r="A14" s="543" t="str">
        <f>+'[4]G-Con'!A12</f>
        <v>Estructura</v>
      </c>
      <c r="C14" s="489" t="s">
        <v>145</v>
      </c>
      <c r="D14" s="537"/>
      <c r="E14" s="537"/>
      <c r="F14" s="537"/>
      <c r="G14" s="537"/>
      <c r="H14" s="544"/>
    </row>
    <row r="15" spans="1:9">
      <c r="A15" s="491" t="str">
        <f>+'[4]G-Con'!A9</f>
        <v>Certificado</v>
      </c>
      <c r="B15" s="545"/>
      <c r="C15" s="558" t="e">
        <f>Gran!#REF!</f>
        <v>#REF!</v>
      </c>
      <c r="D15" s="546"/>
      <c r="E15" s="546"/>
      <c r="F15" s="546"/>
      <c r="G15" s="546"/>
      <c r="H15" s="547"/>
    </row>
    <row r="18" spans="1:8">
      <c r="A18" s="548"/>
      <c r="B18" s="548"/>
      <c r="C18" s="548"/>
      <c r="D18" s="548"/>
      <c r="E18" s="548"/>
      <c r="F18" s="548"/>
      <c r="G18" s="548"/>
      <c r="H18" s="548"/>
    </row>
    <row r="19" spans="1:8">
      <c r="E19" s="549" t="s">
        <v>146</v>
      </c>
    </row>
    <row r="21" spans="1:8">
      <c r="A21" s="469" t="s">
        <v>147</v>
      </c>
      <c r="C21" s="550">
        <f>Gran!H14</f>
        <v>0</v>
      </c>
      <c r="D21" s="550"/>
    </row>
    <row r="22" spans="1:8">
      <c r="A22" s="469" t="s">
        <v>148</v>
      </c>
      <c r="C22" s="550" t="e">
        <f>Gran!#REF!</f>
        <v>#REF!</v>
      </c>
      <c r="D22" s="551"/>
    </row>
    <row r="23" spans="1:8">
      <c r="A23" s="469" t="s">
        <v>149</v>
      </c>
      <c r="C23" s="552" t="e">
        <f>Gran!#REF!</f>
        <v>#REF!</v>
      </c>
      <c r="D23" s="551"/>
      <c r="G23" s="553"/>
    </row>
    <row r="24" spans="1:8">
      <c r="C24" s="554"/>
    </row>
    <row r="25" spans="1:8">
      <c r="C25" s="550"/>
    </row>
    <row r="26" spans="1:8">
      <c r="A26" s="469" t="s">
        <v>120</v>
      </c>
      <c r="C26" s="550" t="s">
        <v>150</v>
      </c>
      <c r="D26" s="550"/>
    </row>
    <row r="27" spans="1:8">
      <c r="A27" s="469" t="s">
        <v>84</v>
      </c>
      <c r="C27" s="557" t="str">
        <f>C14</f>
        <v>Grava 1" Triturada para Concreto</v>
      </c>
      <c r="D27" s="551"/>
    </row>
    <row r="28" spans="1:8">
      <c r="A28" s="469" t="s">
        <v>121</v>
      </c>
      <c r="C28" s="550" t="s">
        <v>151</v>
      </c>
      <c r="D28" s="551"/>
    </row>
    <row r="31" spans="1:8">
      <c r="A31" s="1464" t="s">
        <v>152</v>
      </c>
      <c r="B31" s="1464"/>
      <c r="C31" s="1464"/>
      <c r="D31" s="1464"/>
      <c r="E31" s="1464"/>
      <c r="F31" s="1464"/>
      <c r="G31" s="1464"/>
      <c r="H31" s="1464"/>
    </row>
    <row r="34" spans="1:8">
      <c r="A34" s="1465" t="s">
        <v>86</v>
      </c>
      <c r="B34" s="1443" t="s">
        <v>153</v>
      </c>
      <c r="C34" s="1444"/>
      <c r="D34" s="1444"/>
      <c r="E34" s="1444"/>
      <c r="F34" s="1445"/>
      <c r="G34" s="1449">
        <v>6747.5</v>
      </c>
      <c r="H34" s="1451" t="s">
        <v>154</v>
      </c>
    </row>
    <row r="35" spans="1:8">
      <c r="A35" s="1466"/>
      <c r="B35" s="1446"/>
      <c r="C35" s="1447"/>
      <c r="D35" s="1447"/>
      <c r="E35" s="1447"/>
      <c r="F35" s="1448"/>
      <c r="G35" s="1450"/>
      <c r="H35" s="1452"/>
    </row>
    <row r="36" spans="1:8">
      <c r="A36" s="1113" t="s">
        <v>88</v>
      </c>
      <c r="B36" s="1443" t="s">
        <v>155</v>
      </c>
      <c r="C36" s="1444"/>
      <c r="D36" s="1444"/>
      <c r="E36" s="1444"/>
      <c r="F36" s="1445"/>
      <c r="G36" s="1449">
        <v>6740.1</v>
      </c>
      <c r="H36" s="1451" t="s">
        <v>154</v>
      </c>
    </row>
    <row r="37" spans="1:8">
      <c r="A37" s="555"/>
      <c r="B37" s="1446"/>
      <c r="C37" s="1447"/>
      <c r="D37" s="1447"/>
      <c r="E37" s="1447"/>
      <c r="F37" s="1448"/>
      <c r="G37" s="1450"/>
      <c r="H37" s="1452"/>
    </row>
    <row r="38" spans="1:8">
      <c r="G38" s="556"/>
    </row>
    <row r="40" spans="1:8" ht="13.8" thickBot="1"/>
    <row r="41" spans="1:8" ht="13.8" thickTop="1">
      <c r="D41" s="1453" t="s">
        <v>156</v>
      </c>
      <c r="E41" s="1454"/>
      <c r="F41" s="1457">
        <f>+((G34-G36)/G34*100)/100</f>
        <v>1.0967024824008354E-3</v>
      </c>
    </row>
    <row r="42" spans="1:8" ht="13.8" thickBot="1">
      <c r="D42" s="1455"/>
      <c r="E42" s="1456"/>
      <c r="F42" s="1458"/>
    </row>
    <row r="43" spans="1:8" ht="13.8" thickTop="1"/>
    <row r="50" spans="4:9">
      <c r="D50" s="1417"/>
      <c r="E50" s="1417"/>
      <c r="F50" s="1417"/>
      <c r="G50" s="1417"/>
      <c r="H50" s="1417"/>
      <c r="I50" s="537"/>
    </row>
  </sheetData>
  <mergeCells count="15">
    <mergeCell ref="A9:H9"/>
    <mergeCell ref="A10:H10"/>
    <mergeCell ref="A11:H11"/>
    <mergeCell ref="A31:H31"/>
    <mergeCell ref="A34:A35"/>
    <mergeCell ref="B34:F35"/>
    <mergeCell ref="G34:G35"/>
    <mergeCell ref="H34:H35"/>
    <mergeCell ref="B36:F37"/>
    <mergeCell ref="G36:G37"/>
    <mergeCell ref="H36:H37"/>
    <mergeCell ref="D50:F50"/>
    <mergeCell ref="G50:H50"/>
    <mergeCell ref="D41:E42"/>
    <mergeCell ref="F41:F42"/>
  </mergeCells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P69"/>
  <sheetViews>
    <sheetView topLeftCell="A7" workbookViewId="0">
      <selection activeCell="R49" sqref="R49"/>
    </sheetView>
  </sheetViews>
  <sheetFormatPr baseColWidth="10" defaultColWidth="11.44140625" defaultRowHeight="13.2"/>
  <cols>
    <col min="1" max="1" width="3.109375" style="302" customWidth="1"/>
    <col min="2" max="2" width="8.6640625" style="302" customWidth="1"/>
    <col min="3" max="3" width="7.33203125" style="302" customWidth="1"/>
    <col min="4" max="4" width="7.109375" style="302" customWidth="1"/>
    <col min="5" max="5" width="9.33203125" style="302" customWidth="1"/>
    <col min="6" max="6" width="8.33203125" style="302" customWidth="1"/>
    <col min="7" max="7" width="6.6640625" style="302" customWidth="1"/>
    <col min="8" max="8" width="8.33203125" style="302" customWidth="1"/>
    <col min="9" max="9" width="9.33203125" style="302" customWidth="1"/>
    <col min="10" max="10" width="8.109375" style="302" customWidth="1"/>
    <col min="11" max="14" width="6.6640625" style="302" customWidth="1"/>
    <col min="15" max="15" width="1.44140625" style="302" customWidth="1"/>
    <col min="16" max="16384" width="11.44140625" style="302"/>
  </cols>
  <sheetData>
    <row r="1" spans="1:16" s="298" customFormat="1" ht="13.8">
      <c r="A1" s="293"/>
      <c r="B1" s="294"/>
      <c r="C1" s="294"/>
      <c r="D1" s="294"/>
      <c r="E1" s="294"/>
      <c r="F1" s="294"/>
      <c r="G1" s="294"/>
      <c r="H1" s="294"/>
      <c r="I1" s="295"/>
      <c r="J1" s="295"/>
      <c r="K1" s="136"/>
      <c r="L1" s="296"/>
      <c r="M1" s="136"/>
      <c r="N1" s="136"/>
      <c r="O1" s="136"/>
      <c r="P1" s="297"/>
    </row>
    <row r="2" spans="1:16">
      <c r="A2" s="299"/>
      <c r="B2" s="299"/>
      <c r="C2" s="299"/>
      <c r="D2" s="299"/>
      <c r="E2" s="299"/>
      <c r="F2" s="299"/>
      <c r="G2" s="299"/>
      <c r="H2" s="299"/>
      <c r="I2" s="1037"/>
      <c r="J2" s="1037"/>
      <c r="K2" s="136"/>
      <c r="L2" s="300"/>
      <c r="M2" s="136"/>
      <c r="N2" s="136"/>
      <c r="O2" s="136"/>
      <c r="P2" s="301"/>
    </row>
    <row r="3" spans="1:16">
      <c r="A3" s="303"/>
      <c r="B3" s="136"/>
      <c r="C3" s="136"/>
      <c r="D3" s="136"/>
      <c r="E3" s="1497"/>
      <c r="F3" s="1497"/>
      <c r="G3" s="1497"/>
      <c r="H3" s="1497"/>
      <c r="I3" s="304"/>
      <c r="J3" s="304"/>
      <c r="K3" s="136"/>
      <c r="L3" s="304"/>
      <c r="M3" s="136"/>
      <c r="N3" s="136"/>
      <c r="O3" s="136"/>
      <c r="P3" s="305"/>
    </row>
    <row r="4" spans="1:16" s="298" customFormat="1">
      <c r="A4" s="306"/>
      <c r="B4" s="307"/>
      <c r="C4" s="136"/>
      <c r="D4" s="136"/>
      <c r="E4" s="308"/>
      <c r="F4" s="305"/>
      <c r="G4" s="305"/>
      <c r="H4" s="305"/>
      <c r="I4" s="309"/>
      <c r="J4" s="309"/>
      <c r="K4" s="136"/>
      <c r="L4" s="310"/>
      <c r="M4" s="136"/>
      <c r="N4" s="136"/>
      <c r="O4" s="136"/>
      <c r="P4" s="311"/>
    </row>
    <row r="5" spans="1:16" ht="13.8" thickBot="1">
      <c r="A5" s="136"/>
      <c r="B5" s="312"/>
      <c r="C5" s="312"/>
      <c r="D5" s="313"/>
      <c r="E5" s="313"/>
      <c r="F5" s="313"/>
      <c r="G5" s="313"/>
      <c r="H5" s="313"/>
      <c r="I5" s="313"/>
      <c r="J5" s="313"/>
      <c r="K5" s="314"/>
      <c r="L5" s="312"/>
      <c r="M5" s="312"/>
      <c r="N5" s="312"/>
      <c r="O5" s="136"/>
      <c r="P5" s="315"/>
    </row>
    <row r="6" spans="1:16" ht="13.8" thickTop="1">
      <c r="A6" s="1114"/>
      <c r="B6" s="1114"/>
      <c r="C6" s="1114"/>
      <c r="D6" s="1114"/>
      <c r="E6" s="1114"/>
      <c r="F6" s="1114"/>
      <c r="G6" s="1114"/>
      <c r="H6" s="1114"/>
      <c r="I6" s="1114"/>
      <c r="J6" s="1114"/>
      <c r="K6" s="316"/>
      <c r="L6" s="1114"/>
      <c r="M6" s="316"/>
      <c r="N6" s="1114"/>
      <c r="O6" s="559"/>
      <c r="P6" s="305"/>
    </row>
    <row r="7" spans="1:16">
      <c r="A7" s="1114"/>
      <c r="B7" s="1473" t="s">
        <v>157</v>
      </c>
      <c r="C7" s="1474"/>
      <c r="D7" s="1474"/>
      <c r="E7" s="1474"/>
      <c r="F7" s="1474"/>
      <c r="G7" s="1474"/>
      <c r="H7" s="1474"/>
      <c r="I7" s="1474"/>
      <c r="J7" s="1474"/>
      <c r="K7" s="1474"/>
      <c r="L7" s="1474"/>
      <c r="M7" s="1474"/>
      <c r="N7" s="1475"/>
      <c r="O7" s="559"/>
      <c r="P7" s="559"/>
    </row>
    <row r="8" spans="1:16">
      <c r="A8" s="1114"/>
      <c r="B8" s="1476" t="s">
        <v>158</v>
      </c>
      <c r="C8" s="1477"/>
      <c r="D8" s="1477"/>
      <c r="E8" s="1477"/>
      <c r="F8" s="1477"/>
      <c r="G8" s="1477"/>
      <c r="H8" s="1477"/>
      <c r="I8" s="1477"/>
      <c r="J8" s="1477"/>
      <c r="K8" s="1477"/>
      <c r="L8" s="1477"/>
      <c r="M8" s="1477"/>
      <c r="N8" s="1478"/>
      <c r="O8" s="559"/>
      <c r="P8" s="559"/>
    </row>
    <row r="9" spans="1:16">
      <c r="A9" s="1114"/>
      <c r="B9" s="1479"/>
      <c r="C9" s="1479"/>
      <c r="D9" s="1479"/>
      <c r="E9" s="1479"/>
      <c r="F9" s="1479"/>
      <c r="G9" s="1479"/>
      <c r="H9" s="1479"/>
      <c r="I9" s="1479"/>
      <c r="J9" s="1479"/>
      <c r="K9" s="1479"/>
      <c r="L9" s="1479"/>
      <c r="M9" s="1479"/>
      <c r="N9" s="1479"/>
      <c r="O9" s="559"/>
      <c r="P9" s="559"/>
    </row>
    <row r="10" spans="1:16">
      <c r="A10" s="1114"/>
      <c r="B10" s="317" t="str">
        <f>+[9]I_O!A11</f>
        <v>Cantera</v>
      </c>
      <c r="C10" s="318" t="s">
        <v>159</v>
      </c>
      <c r="D10" s="319"/>
      <c r="E10" s="319"/>
      <c r="F10" s="319"/>
      <c r="G10" s="319"/>
      <c r="H10" s="319"/>
      <c r="I10" s="319"/>
      <c r="J10" s="319"/>
      <c r="K10" s="320"/>
      <c r="L10" s="321" t="s">
        <v>160</v>
      </c>
      <c r="M10" s="322"/>
      <c r="N10" s="323"/>
      <c r="O10" s="559"/>
      <c r="P10" s="559"/>
    </row>
    <row r="11" spans="1:16">
      <c r="A11" s="1114"/>
      <c r="B11" s="324" t="str">
        <f>+[9]I_O!A12</f>
        <v>Muestra</v>
      </c>
      <c r="C11" s="325" t="str">
        <f>+Gran!C13</f>
        <v>Grava para concreto</v>
      </c>
      <c r="D11" s="326"/>
      <c r="E11" s="326"/>
      <c r="F11" s="326"/>
      <c r="G11" s="326"/>
      <c r="H11" s="326"/>
      <c r="I11" s="326"/>
      <c r="J11" s="326"/>
      <c r="K11" s="327"/>
      <c r="L11" s="328" t="s">
        <v>161</v>
      </c>
      <c r="M11" s="329">
        <f>+Gran!H14</f>
        <v>0</v>
      </c>
      <c r="N11" s="330"/>
      <c r="O11" s="559"/>
      <c r="P11" s="559"/>
    </row>
    <row r="12" spans="1:16">
      <c r="A12" s="1114"/>
      <c r="B12" s="324"/>
      <c r="C12" s="318"/>
      <c r="D12" s="326"/>
      <c r="E12" s="326"/>
      <c r="F12" s="326"/>
      <c r="G12" s="326"/>
      <c r="H12" s="326"/>
      <c r="I12" s="326"/>
      <c r="J12" s="326"/>
      <c r="K12" s="327"/>
      <c r="L12" s="328" t="s">
        <v>162</v>
      </c>
      <c r="M12" s="329" t="e">
        <f>+Gran!#REF!</f>
        <v>#REF!</v>
      </c>
      <c r="N12" s="330"/>
      <c r="O12" s="559"/>
      <c r="P12" s="559"/>
    </row>
    <row r="13" spans="1:16">
      <c r="A13" s="1114"/>
      <c r="B13" s="324" t="str">
        <f>+[9]I_O!A14</f>
        <v>Fecha</v>
      </c>
      <c r="C13" s="1480" t="e">
        <f>+Gran!#REF!</f>
        <v>#REF!</v>
      </c>
      <c r="D13" s="1480"/>
      <c r="E13" s="331"/>
      <c r="F13" s="331"/>
      <c r="G13" s="332"/>
      <c r="H13" s="333"/>
      <c r="I13" s="334" t="s">
        <v>163</v>
      </c>
      <c r="J13" s="326"/>
      <c r="K13" s="327"/>
      <c r="L13" s="328" t="s">
        <v>164</v>
      </c>
      <c r="M13" s="1471" t="e">
        <f>+C13</f>
        <v>#REF!</v>
      </c>
      <c r="N13" s="1472"/>
      <c r="O13" s="559"/>
      <c r="P13" s="559"/>
    </row>
    <row r="14" spans="1:16">
      <c r="A14" s="1114"/>
      <c r="B14" s="324"/>
      <c r="C14" s="335"/>
      <c r="D14" s="336"/>
      <c r="E14" s="331"/>
      <c r="F14" s="331"/>
      <c r="G14" s="326"/>
      <c r="H14" s="333"/>
      <c r="I14" s="334"/>
      <c r="J14" s="326"/>
      <c r="K14" s="316"/>
      <c r="L14" s="328" t="s">
        <v>165</v>
      </c>
      <c r="M14" s="337" t="s">
        <v>166</v>
      </c>
      <c r="N14" s="330"/>
      <c r="O14" s="559"/>
      <c r="P14" s="559"/>
    </row>
    <row r="15" spans="1:16">
      <c r="A15" s="1114"/>
      <c r="B15" s="338"/>
      <c r="C15" s="339"/>
      <c r="D15" s="339"/>
      <c r="E15" s="340"/>
      <c r="F15" s="341"/>
      <c r="G15" s="341"/>
      <c r="H15" s="342"/>
      <c r="I15" s="342"/>
      <c r="J15" s="343"/>
      <c r="K15" s="344"/>
      <c r="L15" s="344"/>
      <c r="M15" s="344"/>
      <c r="N15" s="345"/>
      <c r="O15" s="559"/>
      <c r="P15" s="559"/>
    </row>
    <row r="16" spans="1:16" ht="3.75" customHeight="1">
      <c r="A16" s="559"/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</row>
    <row r="17" spans="2:15">
      <c r="B17" s="1481" t="s">
        <v>167</v>
      </c>
      <c r="C17" s="1481"/>
      <c r="D17" s="1481"/>
      <c r="E17" s="1481"/>
      <c r="F17" s="1481"/>
      <c r="G17" s="1481"/>
      <c r="H17" s="1481"/>
      <c r="I17" s="1481"/>
      <c r="J17" s="1481"/>
      <c r="K17" s="1481"/>
      <c r="L17" s="1481"/>
      <c r="M17" s="1481"/>
      <c r="N17" s="1481"/>
      <c r="O17" s="559"/>
    </row>
    <row r="18" spans="2:15" ht="7.5" customHeight="1"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</row>
    <row r="19" spans="2:15">
      <c r="B19" s="346" t="s">
        <v>168</v>
      </c>
      <c r="C19" s="346"/>
      <c r="D19" s="1043" t="s">
        <v>169</v>
      </c>
      <c r="E19" s="1043" t="s">
        <v>170</v>
      </c>
      <c r="F19" s="1043" t="s">
        <v>171</v>
      </c>
      <c r="G19" s="1470" t="s">
        <v>172</v>
      </c>
      <c r="H19" s="1470"/>
      <c r="I19" s="1469" t="s">
        <v>173</v>
      </c>
      <c r="J19" s="1469"/>
      <c r="K19" s="1470" t="s">
        <v>174</v>
      </c>
      <c r="L19" s="1470"/>
      <c r="M19" s="1470" t="s">
        <v>175</v>
      </c>
      <c r="N19" s="1470"/>
      <c r="O19" s="347"/>
    </row>
    <row r="20" spans="2:15">
      <c r="B20" s="348" t="s">
        <v>176</v>
      </c>
      <c r="C20" s="348"/>
      <c r="D20" s="1047" t="s">
        <v>177</v>
      </c>
      <c r="E20" s="1047" t="s">
        <v>178</v>
      </c>
      <c r="F20" s="1047" t="s">
        <v>179</v>
      </c>
      <c r="G20" s="1467" t="s">
        <v>180</v>
      </c>
      <c r="H20" s="1467"/>
      <c r="I20" s="1047" t="s">
        <v>181</v>
      </c>
      <c r="J20" s="1047" t="s">
        <v>182</v>
      </c>
      <c r="K20" s="1467" t="s">
        <v>183</v>
      </c>
      <c r="L20" s="1467"/>
      <c r="M20" s="1467" t="s">
        <v>184</v>
      </c>
      <c r="N20" s="1467"/>
      <c r="O20" s="347"/>
    </row>
    <row r="21" spans="2:15">
      <c r="B21" s="349"/>
      <c r="C21" s="349"/>
      <c r="D21" s="1048" t="s">
        <v>124</v>
      </c>
      <c r="E21" s="1048" t="s">
        <v>185</v>
      </c>
      <c r="F21" s="1048" t="s">
        <v>186</v>
      </c>
      <c r="G21" s="1468" t="s">
        <v>187</v>
      </c>
      <c r="H21" s="1468"/>
      <c r="I21" s="1048" t="s">
        <v>188</v>
      </c>
      <c r="J21" s="1048" t="s">
        <v>183</v>
      </c>
      <c r="K21" s="1468" t="s">
        <v>187</v>
      </c>
      <c r="L21" s="1468"/>
      <c r="M21" s="1468" t="s">
        <v>187</v>
      </c>
      <c r="N21" s="1468"/>
      <c r="O21" s="347"/>
    </row>
    <row r="22" spans="2:15" ht="5.25" customHeight="1">
      <c r="B22" s="350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2"/>
      <c r="O22" s="347"/>
    </row>
    <row r="23" spans="2:15">
      <c r="B23" s="1482" t="s">
        <v>189</v>
      </c>
      <c r="C23" s="1483"/>
      <c r="D23" s="1483"/>
      <c r="E23" s="1483"/>
      <c r="F23" s="1483"/>
      <c r="G23" s="1483"/>
      <c r="H23" s="1483"/>
      <c r="I23" s="1483"/>
      <c r="J23" s="1483"/>
      <c r="K23" s="1483"/>
      <c r="L23" s="1483"/>
      <c r="M23" s="1483"/>
      <c r="N23" s="1484"/>
      <c r="O23" s="347"/>
    </row>
    <row r="24" spans="2:15" ht="6" customHeight="1">
      <c r="B24" s="353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54"/>
      <c r="O24" s="347"/>
    </row>
    <row r="25" spans="2:15">
      <c r="B25" s="1046" t="s">
        <v>49</v>
      </c>
      <c r="C25" s="1046" t="s">
        <v>52</v>
      </c>
      <c r="D25" s="355">
        <f>+[10]G_LL!$C$25</f>
        <v>0</v>
      </c>
      <c r="E25" s="1042">
        <v>63.5</v>
      </c>
      <c r="F25" s="1041" t="str">
        <f t="shared" ref="F25:F31" si="0">+C25</f>
        <v>2"</v>
      </c>
      <c r="G25" s="1486"/>
      <c r="H25" s="1486"/>
      <c r="I25" s="1040"/>
      <c r="J25" s="1041"/>
      <c r="K25" s="1486"/>
      <c r="L25" s="1486"/>
      <c r="M25" s="1492"/>
      <c r="N25" s="1492"/>
      <c r="O25" s="245"/>
    </row>
    <row r="26" spans="2:15">
      <c r="B26" s="1046" t="s">
        <v>52</v>
      </c>
      <c r="C26" s="1046" t="s">
        <v>53</v>
      </c>
      <c r="D26" s="355">
        <f>+Gran!F27</f>
        <v>0</v>
      </c>
      <c r="E26" s="1042">
        <v>50.6</v>
      </c>
      <c r="F26" s="1041" t="str">
        <f t="shared" si="0"/>
        <v>1 1/2"</v>
      </c>
      <c r="G26" s="1486">
        <f t="shared" ref="G26:G31" si="1">+D26/$D$32*100</f>
        <v>0</v>
      </c>
      <c r="H26" s="1486"/>
      <c r="I26" s="1040"/>
      <c r="J26" s="1041"/>
      <c r="K26" s="1486"/>
      <c r="L26" s="1486"/>
      <c r="M26" s="1492"/>
      <c r="N26" s="1492"/>
      <c r="O26" s="347"/>
    </row>
    <row r="27" spans="2:15">
      <c r="B27" s="1046" t="s">
        <v>53</v>
      </c>
      <c r="C27" s="1046" t="s">
        <v>54</v>
      </c>
      <c r="D27" s="355">
        <f>+Gran!F28</f>
        <v>0</v>
      </c>
      <c r="E27" s="1042">
        <v>38.1</v>
      </c>
      <c r="F27" s="1041" t="str">
        <f t="shared" si="0"/>
        <v>1"</v>
      </c>
      <c r="G27" s="1486">
        <f t="shared" si="1"/>
        <v>0</v>
      </c>
      <c r="H27" s="1486"/>
      <c r="I27" s="1040">
        <v>1014.1</v>
      </c>
      <c r="J27" s="1040">
        <v>1002.2</v>
      </c>
      <c r="K27" s="1486">
        <f>(I27-J27)/I27*100</f>
        <v>1.1734542944482771</v>
      </c>
      <c r="L27" s="1486"/>
      <c r="M27" s="1492">
        <f>(G27*K27)/100</f>
        <v>0</v>
      </c>
      <c r="N27" s="1492"/>
      <c r="O27" s="347"/>
    </row>
    <row r="28" spans="2:15">
      <c r="B28" s="1046" t="s">
        <v>54</v>
      </c>
      <c r="C28" s="1046" t="s">
        <v>55</v>
      </c>
      <c r="D28" s="355">
        <f>+Gran!F29</f>
        <v>1866</v>
      </c>
      <c r="E28" s="1042">
        <v>25.4</v>
      </c>
      <c r="F28" s="1041" t="str">
        <f t="shared" si="0"/>
        <v>3/4"</v>
      </c>
      <c r="G28" s="1486">
        <f t="shared" si="1"/>
        <v>28.341433778857837</v>
      </c>
      <c r="H28" s="1486"/>
      <c r="I28" s="1040">
        <v>504.6</v>
      </c>
      <c r="J28" s="1040">
        <v>503.2</v>
      </c>
      <c r="K28" s="1486">
        <f>(I28-J28)/I28*100</f>
        <v>0.27744748315498097</v>
      </c>
      <c r="L28" s="1487"/>
      <c r="M28" s="1492">
        <f>(G28*K28)/100</f>
        <v>7.8632594709476686E-2</v>
      </c>
      <c r="N28" s="1492"/>
      <c r="O28" s="347"/>
    </row>
    <row r="29" spans="2:15">
      <c r="B29" s="1046" t="s">
        <v>55</v>
      </c>
      <c r="C29" s="1046" t="s">
        <v>56</v>
      </c>
      <c r="D29" s="355">
        <f>+Gran!F30</f>
        <v>2894</v>
      </c>
      <c r="E29" s="1042">
        <v>19.05</v>
      </c>
      <c r="F29" s="1041" t="str">
        <f t="shared" si="0"/>
        <v>1/2"</v>
      </c>
      <c r="G29" s="1486">
        <f t="shared" si="1"/>
        <v>43.955042527339003</v>
      </c>
      <c r="H29" s="1486"/>
      <c r="I29" s="1040">
        <v>673.6</v>
      </c>
      <c r="J29" s="1040">
        <v>668.7</v>
      </c>
      <c r="K29" s="1486">
        <f>(I29-J29)/I29*100</f>
        <v>0.72743467933491346</v>
      </c>
      <c r="L29" s="1487"/>
      <c r="M29" s="1492">
        <f>(G29*K29)/100</f>
        <v>0.3197442226602733</v>
      </c>
      <c r="N29" s="1492"/>
      <c r="O29" s="347"/>
    </row>
    <row r="30" spans="2:15">
      <c r="B30" s="1046" t="s">
        <v>56</v>
      </c>
      <c r="C30" s="1046" t="s">
        <v>57</v>
      </c>
      <c r="D30" s="355">
        <f>+Gran!F31</f>
        <v>1632</v>
      </c>
      <c r="E30" s="1042">
        <v>12.7</v>
      </c>
      <c r="F30" s="1041" t="str">
        <f t="shared" si="0"/>
        <v>3/8"</v>
      </c>
      <c r="G30" s="1486">
        <f t="shared" si="1"/>
        <v>24.787363304981774</v>
      </c>
      <c r="H30" s="1486"/>
      <c r="I30" s="1040">
        <v>331.9</v>
      </c>
      <c r="J30" s="1040">
        <v>325.3</v>
      </c>
      <c r="K30" s="1486">
        <f>(I30-J30)/I30*100</f>
        <v>1.9885507683036958</v>
      </c>
      <c r="L30" s="1487"/>
      <c r="M30" s="1492">
        <f>(G30*K30)/100</f>
        <v>0.49290930344344347</v>
      </c>
      <c r="N30" s="1492"/>
      <c r="O30" s="347"/>
    </row>
    <row r="31" spans="2:15">
      <c r="B31" s="1046" t="s">
        <v>57</v>
      </c>
      <c r="C31" s="1046" t="s">
        <v>190</v>
      </c>
      <c r="D31" s="355">
        <f>+Gran!F33</f>
        <v>192</v>
      </c>
      <c r="E31" s="1042">
        <v>4.76</v>
      </c>
      <c r="F31" s="1041" t="str">
        <f t="shared" si="0"/>
        <v>Nº 4</v>
      </c>
      <c r="G31" s="1486">
        <f t="shared" si="1"/>
        <v>2.916160388821385</v>
      </c>
      <c r="H31" s="1486"/>
      <c r="I31" s="1040">
        <v>300.2</v>
      </c>
      <c r="J31" s="1040">
        <v>294.5</v>
      </c>
      <c r="K31" s="1486">
        <f>(I31-J31)/I31*100</f>
        <v>1.8987341772151862</v>
      </c>
      <c r="L31" s="1487"/>
      <c r="M31" s="1492">
        <f>(G31*K31)/100</f>
        <v>5.5370133964962903E-2</v>
      </c>
      <c r="N31" s="1492"/>
      <c r="O31" s="347"/>
    </row>
    <row r="32" spans="2:15">
      <c r="B32" s="356" t="s">
        <v>191</v>
      </c>
      <c r="C32" s="1046"/>
      <c r="D32" s="355">
        <f>SUM(D25:D31)</f>
        <v>6584</v>
      </c>
      <c r="E32" s="1041"/>
      <c r="F32" s="1041"/>
      <c r="G32" s="1486">
        <f>SUM(G25:H31)</f>
        <v>99.999999999999986</v>
      </c>
      <c r="H32" s="1487"/>
      <c r="I32" s="1040"/>
      <c r="J32" s="1041"/>
      <c r="K32" s="1487"/>
      <c r="L32" s="1487"/>
      <c r="M32" s="1491">
        <f>SUM(M27:N31)</f>
        <v>0.9466562547781564</v>
      </c>
      <c r="N32" s="1489"/>
      <c r="O32" s="347"/>
    </row>
    <row r="33" spans="2:15" ht="6" customHeight="1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2"/>
      <c r="O33" s="347"/>
    </row>
    <row r="34" spans="2:15">
      <c r="B34" s="1482" t="s">
        <v>192</v>
      </c>
      <c r="C34" s="1483"/>
      <c r="D34" s="1483"/>
      <c r="E34" s="1483"/>
      <c r="F34" s="1483"/>
      <c r="G34" s="1483"/>
      <c r="H34" s="1483"/>
      <c r="I34" s="1483"/>
      <c r="J34" s="1483"/>
      <c r="K34" s="1483"/>
      <c r="L34" s="1483"/>
      <c r="M34" s="1483"/>
      <c r="N34" s="1484"/>
      <c r="O34" s="347"/>
    </row>
    <row r="35" spans="2:15" ht="5.25" customHeight="1">
      <c r="B35" s="353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54"/>
      <c r="O35" s="347"/>
    </row>
    <row r="36" spans="2:15">
      <c r="B36" s="1041" t="s">
        <v>57</v>
      </c>
      <c r="C36" s="1041"/>
      <c r="D36" s="1041"/>
      <c r="E36" s="1041"/>
      <c r="F36" s="1041"/>
      <c r="G36" s="1486"/>
      <c r="H36" s="1486"/>
      <c r="I36" s="1041"/>
      <c r="J36" s="1041"/>
      <c r="K36" s="1486"/>
      <c r="L36" s="1486"/>
      <c r="M36" s="1492"/>
      <c r="N36" s="1492"/>
      <c r="O36" s="347"/>
    </row>
    <row r="37" spans="2:15">
      <c r="B37" s="1041" t="s">
        <v>190</v>
      </c>
      <c r="C37" s="1041"/>
      <c r="D37" s="1041"/>
      <c r="E37" s="1041"/>
      <c r="F37" s="1041"/>
      <c r="G37" s="1486"/>
      <c r="H37" s="1486"/>
      <c r="I37" s="1041"/>
      <c r="J37" s="1040"/>
      <c r="K37" s="1486"/>
      <c r="L37" s="1486"/>
      <c r="M37" s="1492"/>
      <c r="N37" s="1492"/>
      <c r="O37" s="347"/>
    </row>
    <row r="38" spans="2:15">
      <c r="B38" s="1041" t="s">
        <v>193</v>
      </c>
      <c r="C38" s="1041"/>
      <c r="D38" s="1041"/>
      <c r="E38" s="1041"/>
      <c r="F38" s="1041"/>
      <c r="G38" s="1486"/>
      <c r="H38" s="1486"/>
      <c r="I38" s="1041"/>
      <c r="J38" s="1040"/>
      <c r="K38" s="1486"/>
      <c r="L38" s="1486"/>
      <c r="M38" s="1492"/>
      <c r="N38" s="1492"/>
      <c r="O38" s="347"/>
    </row>
    <row r="39" spans="2:15">
      <c r="B39" s="1041" t="s">
        <v>194</v>
      </c>
      <c r="C39" s="1041"/>
      <c r="D39" s="1041"/>
      <c r="E39" s="1041"/>
      <c r="F39" s="1041"/>
      <c r="G39" s="1486"/>
      <c r="H39" s="1486"/>
      <c r="I39" s="1041"/>
      <c r="J39" s="1040"/>
      <c r="K39" s="1486"/>
      <c r="L39" s="1486"/>
      <c r="M39" s="1492"/>
      <c r="N39" s="1492"/>
      <c r="O39" s="347"/>
    </row>
    <row r="40" spans="2:15">
      <c r="B40" s="1041" t="s">
        <v>195</v>
      </c>
      <c r="C40" s="1041"/>
      <c r="D40" s="1041"/>
      <c r="E40" s="1041"/>
      <c r="F40" s="1041"/>
      <c r="G40" s="1486"/>
      <c r="H40" s="1486"/>
      <c r="I40" s="1041"/>
      <c r="J40" s="1040"/>
      <c r="K40" s="1486"/>
      <c r="L40" s="1486"/>
      <c r="M40" s="1492"/>
      <c r="N40" s="1492"/>
      <c r="O40" s="347"/>
    </row>
    <row r="41" spans="2:15">
      <c r="B41" s="1041" t="s">
        <v>196</v>
      </c>
      <c r="C41" s="1041"/>
      <c r="D41" s="1041"/>
      <c r="E41" s="1041"/>
      <c r="F41" s="1041"/>
      <c r="G41" s="1486"/>
      <c r="H41" s="1486"/>
      <c r="I41" s="1041"/>
      <c r="J41" s="1041"/>
      <c r="K41" s="1487"/>
      <c r="L41" s="1487"/>
      <c r="M41" s="1487"/>
      <c r="N41" s="1487"/>
      <c r="O41" s="347"/>
    </row>
    <row r="42" spans="2:15">
      <c r="B42" s="1041" t="s">
        <v>197</v>
      </c>
      <c r="C42" s="1041"/>
      <c r="D42" s="1040"/>
      <c r="E42" s="1041"/>
      <c r="F42" s="1041"/>
      <c r="G42" s="1486"/>
      <c r="H42" s="1486"/>
      <c r="I42" s="1041"/>
      <c r="J42" s="1041"/>
      <c r="K42" s="1487"/>
      <c r="L42" s="1487"/>
      <c r="M42" s="1487"/>
      <c r="N42" s="1487"/>
      <c r="O42" s="347"/>
    </row>
    <row r="43" spans="2:15">
      <c r="B43" s="1044" t="s">
        <v>191</v>
      </c>
      <c r="C43" s="1041"/>
      <c r="D43" s="1045"/>
      <c r="E43" s="1041"/>
      <c r="F43" s="1041"/>
      <c r="G43" s="1488"/>
      <c r="H43" s="1489"/>
      <c r="I43" s="1041"/>
      <c r="J43" s="1041"/>
      <c r="K43" s="1487"/>
      <c r="L43" s="1487"/>
      <c r="M43" s="1491"/>
      <c r="N43" s="1491"/>
      <c r="O43" s="347"/>
    </row>
    <row r="44" spans="2:15" ht="6" customHeight="1"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</row>
    <row r="45" spans="2:15" ht="10.5" customHeight="1">
      <c r="B45" s="1485" t="s">
        <v>198</v>
      </c>
      <c r="C45" s="1485"/>
      <c r="D45" s="1485"/>
      <c r="E45" s="1485"/>
      <c r="F45" s="1485"/>
      <c r="G45" s="1485"/>
      <c r="H45" s="1485"/>
      <c r="I45" s="1485"/>
      <c r="J45" s="1485"/>
      <c r="K45" s="1485"/>
      <c r="L45" s="1485"/>
      <c r="M45" s="1485"/>
      <c r="N45" s="1485"/>
      <c r="O45" s="347"/>
    </row>
    <row r="46" spans="2:15" ht="6" customHeight="1">
      <c r="B46" s="35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</row>
    <row r="47" spans="2:15">
      <c r="B47" s="358"/>
      <c r="C47" s="359"/>
      <c r="D47" s="360"/>
      <c r="E47" s="361"/>
      <c r="F47" s="361"/>
      <c r="G47" s="361"/>
      <c r="H47" s="361"/>
      <c r="I47" s="361"/>
      <c r="J47" s="361"/>
      <c r="K47" s="361"/>
      <c r="L47" s="361"/>
      <c r="M47" s="361"/>
      <c r="N47" s="362"/>
      <c r="O47" s="347"/>
    </row>
    <row r="48" spans="2:15">
      <c r="B48" s="1493" t="s">
        <v>168</v>
      </c>
      <c r="C48" s="1494"/>
      <c r="D48" s="1469" t="s">
        <v>199</v>
      </c>
      <c r="E48" s="1469"/>
      <c r="F48" s="1469" t="s">
        <v>200</v>
      </c>
      <c r="G48" s="1469"/>
      <c r="H48" s="1469" t="s">
        <v>201</v>
      </c>
      <c r="I48" s="1469"/>
      <c r="J48" s="1469" t="s">
        <v>202</v>
      </c>
      <c r="K48" s="1469"/>
      <c r="L48" s="1469" t="s">
        <v>203</v>
      </c>
      <c r="M48" s="1469"/>
      <c r="N48" s="1469"/>
      <c r="O48" s="347"/>
    </row>
    <row r="49" spans="2:15">
      <c r="B49" s="1495" t="s">
        <v>176</v>
      </c>
      <c r="C49" s="1496"/>
      <c r="D49" s="1046" t="s">
        <v>204</v>
      </c>
      <c r="E49" s="1046" t="s">
        <v>187</v>
      </c>
      <c r="F49" s="1046" t="s">
        <v>204</v>
      </c>
      <c r="G49" s="1046" t="s">
        <v>187</v>
      </c>
      <c r="H49" s="1046" t="s">
        <v>204</v>
      </c>
      <c r="I49" s="1046" t="s">
        <v>187</v>
      </c>
      <c r="J49" s="1046" t="s">
        <v>204</v>
      </c>
      <c r="K49" s="1046" t="s">
        <v>187</v>
      </c>
      <c r="L49" s="1469" t="s">
        <v>205</v>
      </c>
      <c r="M49" s="1469"/>
      <c r="N49" s="1469"/>
      <c r="O49" s="347"/>
    </row>
    <row r="50" spans="2:15">
      <c r="B50" s="1046" t="s">
        <v>49</v>
      </c>
      <c r="C50" s="1046" t="s">
        <v>53</v>
      </c>
      <c r="D50" s="363">
        <v>0</v>
      </c>
      <c r="E50" s="363">
        <f>+D50/$M$50*100</f>
        <v>0</v>
      </c>
      <c r="F50" s="363">
        <v>0</v>
      </c>
      <c r="G50" s="363">
        <f>+F50/$M$50*100</f>
        <v>0</v>
      </c>
      <c r="H50" s="363">
        <v>0</v>
      </c>
      <c r="I50" s="363">
        <f>+H50/$M$50*100</f>
        <v>0</v>
      </c>
      <c r="J50" s="363">
        <v>0</v>
      </c>
      <c r="K50" s="363">
        <f>+J50/$M$50*100</f>
        <v>0</v>
      </c>
      <c r="L50" s="360"/>
      <c r="M50" s="364">
        <v>1</v>
      </c>
      <c r="N50" s="362"/>
      <c r="O50" s="347"/>
    </row>
    <row r="51" spans="2:15">
      <c r="B51" s="1046" t="s">
        <v>53</v>
      </c>
      <c r="C51" s="1046" t="s">
        <v>55</v>
      </c>
      <c r="D51" s="363">
        <v>0</v>
      </c>
      <c r="E51" s="363">
        <f>+D51/$M$51*100</f>
        <v>0</v>
      </c>
      <c r="F51" s="363">
        <v>0</v>
      </c>
      <c r="G51" s="363">
        <f>+F51/$M$51*100</f>
        <v>0</v>
      </c>
      <c r="H51" s="363">
        <v>0</v>
      </c>
      <c r="I51" s="363">
        <f>+H51/$M$51*100</f>
        <v>0</v>
      </c>
      <c r="J51" s="363">
        <v>0</v>
      </c>
      <c r="K51" s="363">
        <f>+J51/$M$51*100</f>
        <v>0</v>
      </c>
      <c r="L51" s="360"/>
      <c r="M51" s="364">
        <v>1</v>
      </c>
      <c r="N51" s="362"/>
      <c r="O51" s="347"/>
    </row>
    <row r="52" spans="2:15"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</row>
    <row r="53" spans="2:15">
      <c r="B53" s="347" t="s">
        <v>206</v>
      </c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</row>
    <row r="54" spans="2:15"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</row>
    <row r="55" spans="2:15">
      <c r="B55" s="347" t="s">
        <v>207</v>
      </c>
      <c r="C55" s="347"/>
      <c r="D55" s="347"/>
      <c r="E55" s="347">
        <v>5</v>
      </c>
      <c r="F55" s="347"/>
      <c r="G55" s="347"/>
      <c r="H55" s="347"/>
      <c r="I55" s="347"/>
      <c r="J55" s="347"/>
      <c r="K55" s="347"/>
      <c r="L55" s="347"/>
      <c r="M55" s="347"/>
      <c r="N55" s="347"/>
      <c r="O55" s="347"/>
    </row>
    <row r="56" spans="2:15">
      <c r="B56" s="347" t="s">
        <v>208</v>
      </c>
      <c r="C56" s="347"/>
      <c r="D56" s="347"/>
      <c r="E56" s="365" t="e">
        <f>+M13</f>
        <v>#REF!</v>
      </c>
      <c r="F56" s="347"/>
      <c r="G56" s="347"/>
      <c r="H56" s="347"/>
      <c r="I56" s="347"/>
      <c r="J56" s="347"/>
      <c r="K56" s="347"/>
      <c r="L56" s="347"/>
      <c r="M56" s="347"/>
      <c r="N56" s="347"/>
      <c r="O56" s="347"/>
    </row>
    <row r="57" spans="2:15">
      <c r="B57" s="347" t="s">
        <v>209</v>
      </c>
      <c r="C57" s="347"/>
      <c r="D57" s="347"/>
      <c r="E57" s="366" t="e">
        <f>+M13+5</f>
        <v>#REF!</v>
      </c>
      <c r="F57" s="347"/>
      <c r="G57" s="347"/>
      <c r="H57" s="347"/>
      <c r="I57" s="347"/>
      <c r="J57" s="347"/>
      <c r="K57" s="347"/>
      <c r="L57" s="347"/>
      <c r="M57" s="347"/>
      <c r="N57" s="347"/>
      <c r="O57" s="347"/>
    </row>
    <row r="58" spans="2:15">
      <c r="B58" s="347" t="s">
        <v>210</v>
      </c>
      <c r="C58" s="347"/>
      <c r="D58" s="367" t="s">
        <v>211</v>
      </c>
      <c r="E58" s="368">
        <v>1.1599999999999999</v>
      </c>
      <c r="F58" s="347"/>
      <c r="G58" s="347"/>
      <c r="H58" s="347"/>
      <c r="I58" s="347"/>
      <c r="J58" s="347"/>
      <c r="K58" s="347"/>
      <c r="L58" s="347"/>
      <c r="M58" s="347"/>
      <c r="N58" s="347"/>
      <c r="O58" s="347"/>
    </row>
    <row r="59" spans="2:15">
      <c r="B59" s="347" t="s">
        <v>212</v>
      </c>
      <c r="C59" s="347"/>
      <c r="D59" s="347"/>
      <c r="E59" s="369">
        <v>25</v>
      </c>
      <c r="F59" s="347"/>
      <c r="G59" s="347"/>
      <c r="H59" s="347"/>
      <c r="I59" s="347"/>
      <c r="J59" s="347"/>
      <c r="K59" s="347"/>
      <c r="L59" s="347"/>
      <c r="M59" s="347"/>
      <c r="N59" s="347"/>
      <c r="O59" s="347"/>
    </row>
    <row r="60" spans="2:15" ht="13.8">
      <c r="B60" s="347" t="s">
        <v>213</v>
      </c>
      <c r="C60" s="347"/>
      <c r="D60" s="347"/>
      <c r="E60" s="347">
        <v>750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</row>
    <row r="61" spans="2:15"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</row>
    <row r="62" spans="2:15">
      <c r="B62" s="1490"/>
      <c r="C62" s="1490"/>
      <c r="D62" s="1490"/>
      <c r="E62" s="1490"/>
      <c r="F62" s="1490"/>
      <c r="G62" s="1490"/>
      <c r="H62" s="1490"/>
      <c r="I62" s="1490"/>
      <c r="J62" s="1490"/>
      <c r="K62" s="1490"/>
      <c r="L62" s="1490"/>
      <c r="M62" s="1490"/>
      <c r="N62" s="1490"/>
      <c r="O62" s="347"/>
    </row>
    <row r="63" spans="2:15"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</row>
    <row r="64" spans="2:15"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</row>
    <row r="65" spans="2:15"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</row>
    <row r="66" spans="2:15">
      <c r="B66" s="347"/>
      <c r="C66" s="347"/>
      <c r="D66" s="347"/>
      <c r="E66" s="370"/>
      <c r="F66" s="347"/>
      <c r="G66" s="347"/>
      <c r="H66" s="347"/>
      <c r="I66" s="347"/>
      <c r="J66" s="347"/>
      <c r="K66" s="347"/>
      <c r="L66" s="347"/>
      <c r="M66" s="347"/>
      <c r="N66" s="347"/>
      <c r="O66" s="347"/>
    </row>
    <row r="67" spans="2:15">
      <c r="B67" s="347"/>
      <c r="C67" s="347"/>
      <c r="D67" s="347"/>
      <c r="E67" s="371"/>
      <c r="F67" s="347"/>
      <c r="G67" s="347"/>
      <c r="H67" s="347"/>
      <c r="I67" s="347"/>
      <c r="J67" s="347"/>
      <c r="K67" s="347"/>
      <c r="L67" s="347"/>
      <c r="M67" s="347"/>
      <c r="N67" s="347"/>
      <c r="O67" s="347"/>
    </row>
    <row r="68" spans="2:15"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</row>
    <row r="69" spans="2:15"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</row>
  </sheetData>
  <mergeCells count="78">
    <mergeCell ref="E3:H3"/>
    <mergeCell ref="K29:L29"/>
    <mergeCell ref="K30:L30"/>
    <mergeCell ref="M25:N25"/>
    <mergeCell ref="M26:N26"/>
    <mergeCell ref="M27:N27"/>
    <mergeCell ref="M28:N28"/>
    <mergeCell ref="K25:L25"/>
    <mergeCell ref="K26:L26"/>
    <mergeCell ref="K27:L27"/>
    <mergeCell ref="G25:H25"/>
    <mergeCell ref="G26:H26"/>
    <mergeCell ref="G27:H27"/>
    <mergeCell ref="G28:H28"/>
    <mergeCell ref="K28:L28"/>
    <mergeCell ref="G19:H19"/>
    <mergeCell ref="K31:L31"/>
    <mergeCell ref="K32:L32"/>
    <mergeCell ref="M29:N29"/>
    <mergeCell ref="M30:N30"/>
    <mergeCell ref="M31:N31"/>
    <mergeCell ref="M32:N32"/>
    <mergeCell ref="B34:N34"/>
    <mergeCell ref="G39:H39"/>
    <mergeCell ref="G40:H40"/>
    <mergeCell ref="G41:H41"/>
    <mergeCell ref="K42:L42"/>
    <mergeCell ref="M36:N36"/>
    <mergeCell ref="M37:N37"/>
    <mergeCell ref="M38:N38"/>
    <mergeCell ref="M39:N39"/>
    <mergeCell ref="K36:L36"/>
    <mergeCell ref="K37:L37"/>
    <mergeCell ref="K38:L38"/>
    <mergeCell ref="K39:L39"/>
    <mergeCell ref="G42:H42"/>
    <mergeCell ref="K40:L40"/>
    <mergeCell ref="K41:L41"/>
    <mergeCell ref="G43:H43"/>
    <mergeCell ref="G36:H36"/>
    <mergeCell ref="G37:H37"/>
    <mergeCell ref="G38:H38"/>
    <mergeCell ref="B62:G62"/>
    <mergeCell ref="H62:N62"/>
    <mergeCell ref="K43:L43"/>
    <mergeCell ref="M42:N42"/>
    <mergeCell ref="M43:N43"/>
    <mergeCell ref="M40:N40"/>
    <mergeCell ref="M41:N41"/>
    <mergeCell ref="L49:N49"/>
    <mergeCell ref="B48:C48"/>
    <mergeCell ref="B49:C49"/>
    <mergeCell ref="D48:E48"/>
    <mergeCell ref="F48:G48"/>
    <mergeCell ref="H48:I48"/>
    <mergeCell ref="J48:K48"/>
    <mergeCell ref="L48:N48"/>
    <mergeCell ref="M13:N13"/>
    <mergeCell ref="B7:N7"/>
    <mergeCell ref="B8:N8"/>
    <mergeCell ref="B9:N9"/>
    <mergeCell ref="C13:D13"/>
    <mergeCell ref="B17:N17"/>
    <mergeCell ref="B23:N23"/>
    <mergeCell ref="B45:N45"/>
    <mergeCell ref="G29:H29"/>
    <mergeCell ref="G30:H30"/>
    <mergeCell ref="G31:H31"/>
    <mergeCell ref="G32:H32"/>
    <mergeCell ref="M19:N19"/>
    <mergeCell ref="M20:N20"/>
    <mergeCell ref="M21:N21"/>
    <mergeCell ref="G20:H20"/>
    <mergeCell ref="G21:H21"/>
    <mergeCell ref="I19:J19"/>
    <mergeCell ref="K19:L19"/>
    <mergeCell ref="K20:L20"/>
    <mergeCell ref="K21:L21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5" orientation="portrait" horizontalDpi="300" verticalDpi="300" r:id="rId1"/>
  <headerFooter alignWithMargins="0">
    <oddFooter>&amp;L&amp;Z&amp;F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38AF-053F-488A-9752-0065D69C2F34}">
  <sheetPr>
    <pageSetUpPr fitToPage="1"/>
  </sheetPr>
  <dimension ref="A1:P50"/>
  <sheetViews>
    <sheetView showGridLines="0" zoomScaleNormal="100" zoomScaleSheetLayoutView="100" workbookViewId="0">
      <selection activeCell="P8" sqref="P8"/>
    </sheetView>
  </sheetViews>
  <sheetFormatPr baseColWidth="10" defaultColWidth="10.33203125" defaultRowHeight="13.8"/>
  <cols>
    <col min="1" max="1" width="2.6640625" style="1242" customWidth="1"/>
    <col min="2" max="2" width="3.5546875" style="1242" customWidth="1"/>
    <col min="3" max="3" width="8.109375" style="1242" customWidth="1"/>
    <col min="4" max="4" width="10.44140625" style="1242" customWidth="1"/>
    <col min="5" max="5" width="14.6640625" style="1242" customWidth="1"/>
    <col min="6" max="6" width="13.5546875" style="1242" customWidth="1"/>
    <col min="7" max="7" width="11.33203125" style="1242" customWidth="1"/>
    <col min="8" max="8" width="11.109375" style="1242" customWidth="1"/>
    <col min="9" max="9" width="5.5546875" style="1242" customWidth="1"/>
    <col min="10" max="10" width="15.44140625" style="1242" customWidth="1"/>
    <col min="11" max="11" width="1.6640625" style="1242" customWidth="1"/>
    <col min="12" max="12" width="12.33203125" style="1242" customWidth="1"/>
    <col min="13" max="13" width="6.44140625" style="1242" customWidth="1"/>
    <col min="14" max="14" width="8" style="1242" customWidth="1"/>
    <col min="15" max="16" width="10.6640625" style="1242" customWidth="1"/>
    <col min="17" max="16384" width="10.33203125" style="1242"/>
  </cols>
  <sheetData>
    <row r="1" spans="1:16" ht="15.75" customHeight="1" thickTop="1">
      <c r="A1" s="1238"/>
      <c r="B1" s="1239"/>
      <c r="C1" s="1239"/>
      <c r="D1" s="1239"/>
      <c r="E1" s="1239"/>
      <c r="F1" s="1239"/>
      <c r="G1" s="1240"/>
      <c r="H1" s="1240"/>
      <c r="I1" s="1240"/>
      <c r="J1" s="1240"/>
      <c r="K1" s="1240"/>
      <c r="L1" s="1241"/>
    </row>
    <row r="2" spans="1:16" ht="15.75" customHeight="1">
      <c r="A2" s="1243"/>
      <c r="B2" s="1244"/>
      <c r="C2" s="1244"/>
      <c r="D2" s="1244"/>
      <c r="E2" s="1244"/>
      <c r="F2" s="1244"/>
      <c r="G2" s="1245"/>
      <c r="H2" s="1245"/>
      <c r="I2" s="1245"/>
      <c r="J2" s="1245"/>
      <c r="K2" s="1245"/>
      <c r="L2" s="1246"/>
      <c r="O2" s="1311" t="s">
        <v>215</v>
      </c>
      <c r="P2" s="1312"/>
    </row>
    <row r="3" spans="1:16" ht="15.75" customHeight="1">
      <c r="A3" s="1243"/>
      <c r="B3" s="1244"/>
      <c r="C3" s="1244"/>
      <c r="D3" s="1244"/>
      <c r="E3" s="1244"/>
      <c r="F3" s="1244"/>
      <c r="G3" s="1245"/>
      <c r="H3" s="1245"/>
      <c r="I3" s="1245"/>
      <c r="J3" s="1245"/>
      <c r="K3" s="1245"/>
      <c r="L3" s="1246"/>
      <c r="O3" s="1311" t="s">
        <v>218</v>
      </c>
      <c r="P3" s="1313"/>
    </row>
    <row r="4" spans="1:16" ht="15.75" customHeight="1">
      <c r="A4" s="1243"/>
      <c r="B4" s="1244"/>
      <c r="C4" s="1244"/>
      <c r="D4" s="1244"/>
      <c r="E4" s="1244"/>
      <c r="F4" s="1244"/>
      <c r="G4" s="1245"/>
      <c r="H4" s="1245"/>
      <c r="I4" s="1245"/>
      <c r="J4" s="1245"/>
      <c r="K4" s="1245"/>
      <c r="L4" s="1246"/>
      <c r="O4" s="1311" t="s">
        <v>219</v>
      </c>
      <c r="P4" s="1313"/>
    </row>
    <row r="5" spans="1:16" ht="15.75" customHeight="1" thickBot="1">
      <c r="A5" s="1247"/>
      <c r="B5" s="1248"/>
      <c r="C5" s="1248"/>
      <c r="D5" s="1248"/>
      <c r="E5" s="1248"/>
      <c r="F5" s="1248"/>
      <c r="G5" s="1248"/>
      <c r="H5" s="1248"/>
      <c r="I5" s="1248"/>
      <c r="J5" s="1248"/>
      <c r="K5" s="1248"/>
      <c r="L5" s="1249"/>
      <c r="O5" s="1311" t="s">
        <v>221</v>
      </c>
      <c r="P5" s="1313"/>
    </row>
    <row r="6" spans="1:16" ht="15.9" customHeight="1" thickTop="1">
      <c r="A6" s="1250"/>
      <c r="B6" s="1250"/>
      <c r="C6" s="1250"/>
      <c r="D6" s="1250"/>
      <c r="E6" s="1250"/>
      <c r="F6" s="1250"/>
      <c r="G6" s="1250"/>
      <c r="H6" s="1250"/>
      <c r="I6" s="1250"/>
      <c r="J6" s="1250"/>
      <c r="K6" s="1250"/>
      <c r="L6" s="1250"/>
      <c r="O6" s="454"/>
      <c r="P6" s="1314"/>
    </row>
    <row r="7" spans="1:16" ht="15.9" customHeight="1">
      <c r="A7" s="1523" t="s">
        <v>214</v>
      </c>
      <c r="B7" s="1523"/>
      <c r="C7" s="1523"/>
      <c r="D7" s="1523"/>
      <c r="E7" s="1523"/>
      <c r="F7" s="1523"/>
      <c r="G7" s="1523"/>
      <c r="H7" s="1523"/>
      <c r="I7" s="1523"/>
      <c r="J7" s="1523"/>
      <c r="K7" s="1523"/>
      <c r="L7" s="1523"/>
      <c r="O7" s="901" t="s">
        <v>575</v>
      </c>
      <c r="P7" s="1314"/>
    </row>
    <row r="8" spans="1:16" ht="15.9" customHeight="1">
      <c r="A8" s="1524" t="s">
        <v>578</v>
      </c>
      <c r="B8" s="1524"/>
      <c r="C8" s="1524"/>
      <c r="D8" s="1524"/>
      <c r="E8" s="1524"/>
      <c r="F8" s="1524"/>
      <c r="G8" s="1524"/>
      <c r="H8" s="1524"/>
      <c r="I8" s="1524"/>
      <c r="J8" s="1524"/>
      <c r="K8" s="1524"/>
      <c r="L8" s="1524"/>
      <c r="N8"/>
      <c r="O8" s="901" t="s">
        <v>609</v>
      </c>
      <c r="P8" s="1315"/>
    </row>
    <row r="9" spans="1:16" ht="15.9" customHeight="1">
      <c r="A9" s="1252"/>
      <c r="B9" s="1252"/>
      <c r="C9" s="1252"/>
      <c r="D9" s="1252"/>
      <c r="E9" s="1252"/>
      <c r="F9" s="1252"/>
      <c r="G9" s="1252"/>
      <c r="H9" s="1252"/>
      <c r="I9" s="1252"/>
      <c r="J9" s="1252"/>
      <c r="K9" s="1252"/>
      <c r="L9" s="1252"/>
      <c r="O9" s="901" t="s">
        <v>610</v>
      </c>
      <c r="P9" s="1314"/>
    </row>
    <row r="10" spans="1:16" ht="15.9" customHeight="1">
      <c r="A10" s="1252"/>
      <c r="B10" s="1252"/>
      <c r="C10" s="1525" t="s">
        <v>579</v>
      </c>
      <c r="D10" s="1526"/>
      <c r="E10" s="1525" t="s">
        <v>580</v>
      </c>
      <c r="F10" s="1526"/>
      <c r="G10" s="1527" t="s">
        <v>581</v>
      </c>
      <c r="H10" s="1527"/>
      <c r="I10" s="1527" t="s">
        <v>582</v>
      </c>
      <c r="J10" s="1527"/>
      <c r="K10" s="1527"/>
      <c r="L10" s="1252"/>
      <c r="O10" s="454"/>
      <c r="P10" s="1314"/>
    </row>
    <row r="11" spans="1:16" ht="24.75" customHeight="1">
      <c r="A11" s="1252"/>
      <c r="B11" s="1252"/>
      <c r="C11" s="1528"/>
      <c r="D11" s="1529"/>
      <c r="E11" s="1528"/>
      <c r="F11" s="1529"/>
      <c r="G11" s="1530"/>
      <c r="H11" s="1530"/>
      <c r="I11" s="1530"/>
      <c r="J11" s="1530"/>
      <c r="K11" s="1530"/>
      <c r="L11" s="1252"/>
      <c r="O11" s="901" t="s">
        <v>225</v>
      </c>
      <c r="P11" s="1314"/>
    </row>
    <row r="12" spans="1:16" ht="15.9" customHeight="1">
      <c r="A12" s="1251"/>
      <c r="B12" s="1251"/>
      <c r="C12" s="1251"/>
      <c r="D12" s="1251"/>
      <c r="E12" s="1251"/>
      <c r="F12" s="1251"/>
      <c r="G12" s="1251"/>
      <c r="H12" s="1251"/>
      <c r="I12" s="1251"/>
      <c r="J12" s="1251"/>
      <c r="K12" s="1251"/>
      <c r="L12" s="1251"/>
      <c r="O12" s="901" t="s">
        <v>227</v>
      </c>
      <c r="P12" s="1315"/>
    </row>
    <row r="13" spans="1:16" ht="6" customHeight="1">
      <c r="A13" s="1253"/>
      <c r="B13" s="1254"/>
      <c r="C13" s="1255"/>
      <c r="D13" s="1255"/>
      <c r="E13" s="1255"/>
      <c r="F13" s="1255"/>
      <c r="G13" s="1255"/>
      <c r="H13" s="1255"/>
      <c r="I13" s="1255"/>
      <c r="J13" s="1255"/>
      <c r="K13" s="1255"/>
      <c r="L13" s="1255"/>
      <c r="M13" s="1256"/>
      <c r="N13" s="1256"/>
      <c r="O13" s="901" t="s">
        <v>228</v>
      </c>
      <c r="P13" s="1315"/>
    </row>
    <row r="14" spans="1:16" ht="18.75" customHeight="1">
      <c r="A14" s="1531" t="s">
        <v>583</v>
      </c>
      <c r="B14" s="1532"/>
      <c r="C14" s="1532"/>
      <c r="D14" s="1532"/>
      <c r="E14" s="1532"/>
      <c r="F14" s="1532"/>
      <c r="G14" s="1532"/>
      <c r="H14" s="1532"/>
      <c r="I14" s="1532"/>
      <c r="J14" s="1532"/>
      <c r="K14" s="1532"/>
      <c r="L14" s="1533"/>
      <c r="M14" s="1256"/>
      <c r="N14" s="1256"/>
      <c r="O14" s="454"/>
      <c r="P14" s="1314"/>
    </row>
    <row r="15" spans="1:16" ht="18" customHeight="1">
      <c r="A15" s="1520" t="s">
        <v>576</v>
      </c>
      <c r="B15" s="1521"/>
      <c r="C15" s="1521"/>
      <c r="D15" s="1521"/>
      <c r="E15" s="1521"/>
      <c r="F15" s="1521"/>
      <c r="G15" s="1521"/>
      <c r="H15" s="1521"/>
      <c r="I15" s="1521"/>
      <c r="J15" s="1521"/>
      <c r="K15" s="1521"/>
      <c r="L15" s="1522"/>
      <c r="M15" s="1256"/>
      <c r="N15" s="1256"/>
      <c r="O15" s="901" t="s">
        <v>611</v>
      </c>
      <c r="P15" s="1316"/>
    </row>
    <row r="16" spans="1:16">
      <c r="A16" s="1257"/>
      <c r="B16" s="1258"/>
      <c r="C16" s="1258"/>
      <c r="D16" s="1258"/>
      <c r="E16" s="1258"/>
      <c r="F16" s="1258"/>
      <c r="G16" s="1258"/>
      <c r="H16" s="1258"/>
      <c r="I16" s="1258"/>
      <c r="J16" s="1258"/>
      <c r="K16" s="1258"/>
      <c r="L16" s="1259"/>
      <c r="M16" s="1256"/>
      <c r="N16" s="1256"/>
      <c r="O16" s="901" t="s">
        <v>226</v>
      </c>
      <c r="P16" s="1316"/>
    </row>
    <row r="17" spans="1:16" ht="21.75" customHeight="1">
      <c r="A17" s="1260"/>
      <c r="C17" s="1507" t="s">
        <v>584</v>
      </c>
      <c r="D17" s="1508"/>
      <c r="E17" s="1508"/>
      <c r="F17" s="1509"/>
      <c r="L17" s="1261"/>
      <c r="M17" s="1256"/>
      <c r="N17" s="1256"/>
      <c r="O17" s="901" t="s">
        <v>612</v>
      </c>
      <c r="P17" s="1317"/>
    </row>
    <row r="18" spans="1:16" ht="24" customHeight="1">
      <c r="A18" s="1260"/>
      <c r="C18" s="1262"/>
      <c r="D18" s="1263" t="s">
        <v>585</v>
      </c>
      <c r="E18" s="1264"/>
      <c r="F18" s="1265"/>
      <c r="H18" s="1510" t="s">
        <v>586</v>
      </c>
      <c r="I18" s="1511"/>
      <c r="J18" s="1511"/>
      <c r="K18" s="1512"/>
      <c r="L18" s="1262"/>
      <c r="M18" s="1256"/>
      <c r="N18" s="1256"/>
    </row>
    <row r="19" spans="1:16" ht="23.25" customHeight="1">
      <c r="A19" s="1260"/>
      <c r="B19" s="1266"/>
      <c r="C19" s="1267"/>
      <c r="D19" s="1263" t="s">
        <v>587</v>
      </c>
      <c r="E19" s="1268"/>
      <c r="F19" s="1269"/>
      <c r="I19" s="1270"/>
      <c r="J19" s="1271"/>
      <c r="K19" s="1271"/>
      <c r="L19" s="1272"/>
      <c r="M19" s="1256"/>
      <c r="N19" s="1256"/>
    </row>
    <row r="20" spans="1:16">
      <c r="A20" s="1260"/>
      <c r="B20" s="1068"/>
      <c r="C20" s="1068"/>
      <c r="D20" s="1068"/>
      <c r="E20" s="1068"/>
      <c r="F20" s="1068"/>
      <c r="G20" s="1068"/>
      <c r="H20" s="1068"/>
      <c r="I20" s="1068"/>
      <c r="J20" s="1068"/>
      <c r="K20" s="1068"/>
      <c r="L20" s="1273"/>
      <c r="M20" s="1256"/>
      <c r="N20" s="1256"/>
    </row>
    <row r="21" spans="1:16" ht="20.25" customHeight="1">
      <c r="A21" s="1260"/>
      <c r="B21" s="938" t="s">
        <v>204</v>
      </c>
      <c r="C21" s="1513" t="s">
        <v>231</v>
      </c>
      <c r="D21" s="1514"/>
      <c r="E21" s="1514"/>
      <c r="F21" s="1514"/>
      <c r="G21" s="1514"/>
      <c r="H21" s="1274"/>
      <c r="I21" s="938" t="s">
        <v>588</v>
      </c>
      <c r="J21" s="938" t="s">
        <v>233</v>
      </c>
      <c r="K21" s="1275"/>
      <c r="L21" s="1276"/>
      <c r="M21" s="1256"/>
      <c r="N21" s="1256"/>
    </row>
    <row r="22" spans="1:16" ht="27" customHeight="1">
      <c r="A22" s="1260"/>
      <c r="B22" s="1277" t="s">
        <v>86</v>
      </c>
      <c r="C22" s="1278" t="s">
        <v>250</v>
      </c>
      <c r="D22" s="1279"/>
      <c r="E22" s="1279"/>
      <c r="F22" s="1279"/>
      <c r="G22" s="1280"/>
      <c r="H22" s="1280"/>
      <c r="I22" s="916" t="s">
        <v>235</v>
      </c>
      <c r="J22" s="1281"/>
      <c r="K22" s="1282"/>
      <c r="L22" s="1276"/>
      <c r="M22" s="1256"/>
      <c r="N22" s="1256"/>
    </row>
    <row r="23" spans="1:16" ht="27" customHeight="1">
      <c r="A23" s="1260"/>
      <c r="B23" s="1277" t="s">
        <v>88</v>
      </c>
      <c r="C23" s="1278" t="s">
        <v>251</v>
      </c>
      <c r="D23" s="1279"/>
      <c r="E23" s="1279"/>
      <c r="F23" s="1279"/>
      <c r="G23" s="1280"/>
      <c r="H23" s="1280"/>
      <c r="I23" s="916" t="s">
        <v>235</v>
      </c>
      <c r="J23" s="1281"/>
      <c r="K23" s="1282"/>
      <c r="L23" s="1276"/>
      <c r="M23" s="1256"/>
      <c r="N23" s="1256"/>
    </row>
    <row r="24" spans="1:16" ht="27" customHeight="1">
      <c r="A24" s="1260"/>
      <c r="B24" s="1277" t="s">
        <v>90</v>
      </c>
      <c r="C24" s="1278" t="s">
        <v>252</v>
      </c>
      <c r="D24" s="1279"/>
      <c r="E24" s="1279"/>
      <c r="F24" s="1279"/>
      <c r="G24" s="1280"/>
      <c r="H24" s="1280"/>
      <c r="I24" s="916" t="s">
        <v>235</v>
      </c>
      <c r="J24" s="1281"/>
      <c r="K24" s="1282"/>
      <c r="L24" s="1276"/>
      <c r="M24" s="1256"/>
      <c r="N24" s="1256"/>
    </row>
    <row r="25" spans="1:16" ht="27" customHeight="1">
      <c r="A25" s="1260"/>
      <c r="B25" s="1277" t="s">
        <v>92</v>
      </c>
      <c r="C25" s="1283" t="s">
        <v>234</v>
      </c>
      <c r="D25" s="1284"/>
      <c r="E25" s="1279"/>
      <c r="F25" s="1279"/>
      <c r="G25" s="1280"/>
      <c r="H25" s="1285" t="s">
        <v>589</v>
      </c>
      <c r="I25" s="916" t="s">
        <v>235</v>
      </c>
      <c r="J25" s="1281"/>
      <c r="K25" s="1282"/>
      <c r="L25" s="1276"/>
      <c r="M25" s="1256"/>
      <c r="N25" s="1256"/>
    </row>
    <row r="26" spans="1:16" ht="27" customHeight="1">
      <c r="A26" s="1260"/>
      <c r="B26" s="1277" t="s">
        <v>94</v>
      </c>
      <c r="C26" s="1278" t="s">
        <v>254</v>
      </c>
      <c r="D26" s="1279"/>
      <c r="E26" s="1279"/>
      <c r="F26" s="1279"/>
      <c r="G26" s="1280"/>
      <c r="H26" s="1280"/>
      <c r="I26" s="916" t="s">
        <v>235</v>
      </c>
      <c r="J26" s="1281"/>
      <c r="K26" s="1282"/>
      <c r="L26" s="1276"/>
      <c r="M26" s="1256"/>
      <c r="N26" s="1256"/>
    </row>
    <row r="27" spans="1:16" ht="27" customHeight="1">
      <c r="A27" s="1260"/>
      <c r="B27" s="1277" t="s">
        <v>96</v>
      </c>
      <c r="C27" s="1278" t="s">
        <v>255</v>
      </c>
      <c r="D27" s="1279"/>
      <c r="E27" s="1279"/>
      <c r="F27" s="1279"/>
      <c r="G27" s="1280"/>
      <c r="H27" s="1280"/>
      <c r="I27" s="916" t="s">
        <v>235</v>
      </c>
      <c r="J27" s="1281"/>
      <c r="K27" s="1282"/>
      <c r="L27" s="1276"/>
      <c r="M27" s="1256"/>
      <c r="N27" s="1256"/>
    </row>
    <row r="28" spans="1:16" ht="27" customHeight="1">
      <c r="A28" s="1260"/>
      <c r="B28" s="1277" t="s">
        <v>98</v>
      </c>
      <c r="C28" s="1283" t="s">
        <v>236</v>
      </c>
      <c r="D28" s="1284"/>
      <c r="E28" s="1279"/>
      <c r="F28" s="1279"/>
      <c r="G28" s="1280"/>
      <c r="H28" s="1285" t="s">
        <v>590</v>
      </c>
      <c r="I28" s="916" t="s">
        <v>235</v>
      </c>
      <c r="J28" s="1281"/>
      <c r="K28" s="1282"/>
      <c r="L28" s="1276"/>
      <c r="M28" s="1256"/>
      <c r="N28" s="1256"/>
    </row>
    <row r="29" spans="1:16" ht="27" customHeight="1">
      <c r="A29" s="1260"/>
      <c r="B29" s="1277" t="s">
        <v>591</v>
      </c>
      <c r="C29" s="1278" t="s">
        <v>257</v>
      </c>
      <c r="D29" s="1279"/>
      <c r="E29" s="1279"/>
      <c r="F29" s="1279"/>
      <c r="G29" s="1280"/>
      <c r="H29" s="1280" t="s">
        <v>592</v>
      </c>
      <c r="I29" s="916" t="s">
        <v>187</v>
      </c>
      <c r="J29" s="1281"/>
      <c r="K29" s="1282"/>
      <c r="L29" s="1276"/>
      <c r="M29" s="1256"/>
      <c r="N29" s="1256"/>
    </row>
    <row r="30" spans="1:16" ht="13.5" customHeight="1">
      <c r="A30" s="1260"/>
      <c r="C30" s="1286" t="s">
        <v>593</v>
      </c>
      <c r="D30" s="1287"/>
      <c r="E30" s="1287"/>
      <c r="F30" s="1287"/>
      <c r="G30" s="1287"/>
      <c r="H30" s="1287"/>
      <c r="I30" s="1287"/>
      <c r="J30" s="1288"/>
      <c r="K30" s="1288"/>
      <c r="L30" s="1289"/>
      <c r="M30" s="1256"/>
      <c r="N30" s="1256"/>
    </row>
    <row r="31" spans="1:16" ht="10.5" customHeight="1">
      <c r="A31" s="1260"/>
      <c r="B31" s="1287"/>
      <c r="C31" s="1287"/>
      <c r="D31" s="1287"/>
      <c r="E31" s="1287"/>
      <c r="F31" s="1287"/>
      <c r="G31" s="1287"/>
      <c r="H31" s="1290"/>
      <c r="I31" s="1287"/>
      <c r="J31" s="1288"/>
      <c r="K31" s="1288"/>
      <c r="L31" s="1289"/>
      <c r="M31" s="1256"/>
      <c r="N31" s="1256"/>
    </row>
    <row r="32" spans="1:16" ht="24" customHeight="1">
      <c r="A32" s="1260"/>
      <c r="B32" s="1515" t="s">
        <v>594</v>
      </c>
      <c r="C32" s="1516"/>
      <c r="D32" s="1516"/>
      <c r="E32" s="1515" t="s">
        <v>595</v>
      </c>
      <c r="F32" s="1517"/>
      <c r="G32" s="1291"/>
      <c r="H32" s="1518" t="s">
        <v>596</v>
      </c>
      <c r="I32" s="1519"/>
      <c r="J32" s="1519"/>
      <c r="K32" s="1292"/>
      <c r="L32" s="1293" t="s">
        <v>262</v>
      </c>
      <c r="M32" s="1256"/>
      <c r="N32" s="1256"/>
    </row>
    <row r="33" spans="1:14" ht="23.25" customHeight="1">
      <c r="A33" s="1260"/>
      <c r="B33" s="1499" t="s">
        <v>597</v>
      </c>
      <c r="C33" s="1500"/>
      <c r="D33" s="1500"/>
      <c r="E33" s="1501"/>
      <c r="F33" s="1502"/>
      <c r="G33" s="1291"/>
      <c r="H33" s="1278" t="s">
        <v>264</v>
      </c>
      <c r="I33" s="1280"/>
      <c r="J33" s="1294"/>
      <c r="K33" s="1295"/>
      <c r="L33" s="916">
        <v>300</v>
      </c>
      <c r="M33" s="1256"/>
      <c r="N33" s="1256"/>
    </row>
    <row r="34" spans="1:14" ht="23.25" customHeight="1">
      <c r="A34" s="1260"/>
      <c r="B34" s="1499" t="s">
        <v>598</v>
      </c>
      <c r="C34" s="1500"/>
      <c r="D34" s="1500"/>
      <c r="E34" s="1501"/>
      <c r="F34" s="1502"/>
      <c r="G34" s="1291"/>
      <c r="H34" s="1278" t="s">
        <v>599</v>
      </c>
      <c r="I34" s="1280"/>
      <c r="J34" s="1280"/>
      <c r="K34" s="1296"/>
      <c r="L34" s="916">
        <v>1000</v>
      </c>
      <c r="M34" s="1256"/>
      <c r="N34" s="1256"/>
    </row>
    <row r="35" spans="1:14" ht="23.25" customHeight="1">
      <c r="A35" s="1260"/>
      <c r="B35" s="1499" t="s">
        <v>600</v>
      </c>
      <c r="C35" s="1500"/>
      <c r="D35" s="1500"/>
      <c r="E35" s="1501"/>
      <c r="F35" s="1502"/>
      <c r="G35" s="1291"/>
      <c r="H35" s="1278" t="s">
        <v>601</v>
      </c>
      <c r="I35" s="1297"/>
      <c r="J35" s="1298"/>
      <c r="K35" s="1299"/>
      <c r="L35" s="916">
        <v>2500</v>
      </c>
      <c r="M35" s="1256"/>
      <c r="N35" s="1256"/>
    </row>
    <row r="36" spans="1:14" ht="23.25" customHeight="1">
      <c r="A36" s="1260"/>
      <c r="B36" s="1499" t="s">
        <v>602</v>
      </c>
      <c r="C36" s="1500"/>
      <c r="D36" s="1500"/>
      <c r="E36" s="1501"/>
      <c r="F36" s="1502"/>
      <c r="G36" s="1291"/>
      <c r="H36" s="1278" t="s">
        <v>603</v>
      </c>
      <c r="I36" s="1280"/>
      <c r="J36" s="1294"/>
      <c r="K36" s="1295"/>
      <c r="L36" s="916">
        <v>5000</v>
      </c>
      <c r="M36" s="1256"/>
      <c r="N36" s="1256"/>
    </row>
    <row r="37" spans="1:14" ht="23.25" customHeight="1">
      <c r="A37" s="1300"/>
      <c r="B37" s="1503"/>
      <c r="C37" s="1503"/>
      <c r="D37" s="1503"/>
      <c r="E37" s="1301"/>
      <c r="F37" s="1301"/>
      <c r="G37" s="1302"/>
      <c r="H37" s="1504" t="s">
        <v>604</v>
      </c>
      <c r="I37" s="1504"/>
      <c r="J37" s="1504"/>
      <c r="K37" s="1504"/>
      <c r="L37" s="1505"/>
      <c r="M37" s="1256"/>
      <c r="N37" s="1256"/>
    </row>
    <row r="38" spans="1:14" ht="13.95" customHeight="1">
      <c r="C38" s="109"/>
      <c r="D38" s="109"/>
      <c r="E38" s="109"/>
      <c r="F38" s="109"/>
      <c r="G38" s="109"/>
      <c r="M38" s="1256"/>
      <c r="N38" s="1256"/>
    </row>
    <row r="39" spans="1:14" ht="19.5" customHeight="1">
      <c r="A39" s="1303" t="s">
        <v>241</v>
      </c>
      <c r="B39" s="1304"/>
      <c r="C39" s="1304"/>
      <c r="D39" s="1305"/>
      <c r="E39" s="1305"/>
      <c r="F39" s="1305"/>
      <c r="G39" s="1305"/>
      <c r="H39" s="1305"/>
      <c r="I39" s="1305"/>
      <c r="J39" s="1305"/>
      <c r="K39" s="1305"/>
      <c r="L39" s="1305"/>
      <c r="M39" s="1256"/>
      <c r="N39" s="1256"/>
    </row>
    <row r="40" spans="1:14" ht="24.75" customHeight="1">
      <c r="A40" s="1306"/>
      <c r="B40" s="1305"/>
      <c r="C40" s="1302"/>
      <c r="D40" s="1302"/>
      <c r="E40" s="1302"/>
      <c r="F40" s="1302"/>
      <c r="G40" s="1302"/>
      <c r="H40" s="1302"/>
      <c r="I40" s="1302"/>
      <c r="J40" s="1302"/>
      <c r="K40" s="1302"/>
      <c r="L40" s="1302"/>
      <c r="M40" s="1256"/>
      <c r="N40" s="1256"/>
    </row>
    <row r="41" spans="1:14" ht="26.25" customHeight="1">
      <c r="A41" s="1307"/>
      <c r="B41" s="1304"/>
      <c r="C41" s="1304"/>
      <c r="D41" s="1304"/>
      <c r="E41" s="1304"/>
      <c r="F41" s="1304"/>
      <c r="G41" s="1304"/>
      <c r="H41" s="1304"/>
      <c r="I41" s="1304"/>
      <c r="J41" s="1304"/>
      <c r="K41" s="1304"/>
      <c r="L41" s="1304"/>
      <c r="M41" s="1256"/>
      <c r="N41" s="1256"/>
    </row>
    <row r="42" spans="1:14" ht="26.25" customHeight="1">
      <c r="A42" s="1307"/>
      <c r="B42" s="1304"/>
      <c r="C42" s="1304"/>
      <c r="D42" s="1304"/>
      <c r="E42" s="1304"/>
      <c r="F42" s="1304"/>
      <c r="G42" s="1304"/>
      <c r="H42" s="1304"/>
      <c r="I42" s="1304"/>
      <c r="J42" s="1304"/>
      <c r="K42" s="1304"/>
      <c r="L42" s="1304"/>
      <c r="M42" s="1256"/>
      <c r="N42" s="1256"/>
    </row>
    <row r="43" spans="1:14" ht="26.25" customHeight="1">
      <c r="A43" s="1307"/>
      <c r="B43" s="1304"/>
      <c r="C43" s="1304"/>
      <c r="D43" s="1304"/>
      <c r="E43" s="1304"/>
      <c r="F43" s="1304"/>
      <c r="G43" s="1304"/>
      <c r="H43" s="1304"/>
      <c r="I43" s="1304"/>
      <c r="J43" s="1304"/>
      <c r="K43" s="1304"/>
      <c r="L43" s="1304"/>
      <c r="M43" s="1256"/>
      <c r="N43" s="1256"/>
    </row>
    <row r="44" spans="1:14" ht="26.25" customHeight="1">
      <c r="B44" s="1506"/>
      <c r="C44" s="1506"/>
      <c r="D44" s="1506"/>
      <c r="E44" s="1506"/>
      <c r="F44" s="1506"/>
      <c r="G44" s="1506"/>
      <c r="H44" s="1254"/>
      <c r="I44" s="1254"/>
      <c r="J44" s="1506"/>
      <c r="K44" s="1506"/>
      <c r="L44" s="1506"/>
      <c r="M44" s="1256"/>
      <c r="N44" s="1256"/>
    </row>
    <row r="45" spans="1:14" ht="19.5" customHeight="1">
      <c r="A45" s="1308" t="s">
        <v>243</v>
      </c>
      <c r="B45" s="1304"/>
      <c r="C45" s="1304"/>
      <c r="D45" s="1304"/>
      <c r="E45" s="1304"/>
      <c r="F45" s="1304"/>
      <c r="G45" s="1304"/>
      <c r="H45" s="1304"/>
      <c r="I45" s="1304"/>
      <c r="J45" s="1304"/>
      <c r="K45" s="1304"/>
      <c r="L45" s="1304"/>
      <c r="M45" s="1256"/>
      <c r="N45" s="1256"/>
    </row>
    <row r="46" spans="1:14" ht="19.5" customHeight="1">
      <c r="A46" s="1309" t="s">
        <v>605</v>
      </c>
      <c r="B46" s="1304"/>
      <c r="C46" s="1304"/>
      <c r="E46" s="1310"/>
      <c r="F46" s="1310"/>
      <c r="G46" s="1297" t="s">
        <v>606</v>
      </c>
      <c r="H46" s="1310"/>
      <c r="I46" s="1310"/>
      <c r="J46" s="1310"/>
      <c r="K46" s="1310"/>
      <c r="L46" s="1310"/>
      <c r="M46" s="1256"/>
      <c r="N46" s="1256"/>
    </row>
    <row r="47" spans="1:14" ht="9.75" customHeight="1"/>
    <row r="48" spans="1:14" ht="30.75" customHeight="1">
      <c r="A48" s="1498" t="s">
        <v>607</v>
      </c>
      <c r="B48" s="1498"/>
      <c r="C48" s="1498"/>
      <c r="D48" s="1498"/>
      <c r="E48" s="1498"/>
      <c r="F48" s="1498"/>
      <c r="G48" s="1498"/>
      <c r="H48" s="1498"/>
      <c r="I48" s="1498"/>
      <c r="J48" s="1498"/>
      <c r="K48" s="1498"/>
      <c r="L48" s="1498"/>
    </row>
    <row r="49" ht="15.9" customHeight="1"/>
    <row r="50" ht="15.9" customHeight="1"/>
  </sheetData>
  <protectedRanges>
    <protectedRange sqref="C13:F13" name="Rango3_3_1_1_1_1_1_1_1_1_1"/>
    <protectedRange sqref="C44:F44" name="Rango3_3_1_1_1_1_1_2_1_1"/>
  </protectedRanges>
  <mergeCells count="31">
    <mergeCell ref="A15:L15"/>
    <mergeCell ref="A7:L7"/>
    <mergeCell ref="A8:L8"/>
    <mergeCell ref="C10:D10"/>
    <mergeCell ref="E10:F10"/>
    <mergeCell ref="G10:H10"/>
    <mergeCell ref="I10:K10"/>
    <mergeCell ref="C11:D11"/>
    <mergeCell ref="E11:F11"/>
    <mergeCell ref="G11:H11"/>
    <mergeCell ref="I11:K11"/>
    <mergeCell ref="A14:L14"/>
    <mergeCell ref="C17:F17"/>
    <mergeCell ref="H18:K18"/>
    <mergeCell ref="C21:G21"/>
    <mergeCell ref="B32:D32"/>
    <mergeCell ref="E32:F32"/>
    <mergeCell ref="H32:J32"/>
    <mergeCell ref="B33:D33"/>
    <mergeCell ref="E33:F33"/>
    <mergeCell ref="B34:D34"/>
    <mergeCell ref="E34:F34"/>
    <mergeCell ref="B35:D35"/>
    <mergeCell ref="E35:F35"/>
    <mergeCell ref="A48:L48"/>
    <mergeCell ref="B36:D36"/>
    <mergeCell ref="E36:F36"/>
    <mergeCell ref="B37:D37"/>
    <mergeCell ref="H37:L37"/>
    <mergeCell ref="B44:G44"/>
    <mergeCell ref="J44:L44"/>
  </mergeCells>
  <printOptions horizontalCentered="1" verticalCentered="1"/>
  <pageMargins left="0" right="0.39370078740157483" top="0.78740157480314965" bottom="0" header="0" footer="0"/>
  <pageSetup scale="75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0"/>
  <sheetViews>
    <sheetView showGridLines="0" tabSelected="1" view="pageBreakPreview" zoomScaleNormal="100" zoomScaleSheetLayoutView="100" workbookViewId="0">
      <selection activeCell="A4" sqref="A4:N4"/>
    </sheetView>
  </sheetViews>
  <sheetFormatPr baseColWidth="10" defaultColWidth="11.44140625" defaultRowHeight="13.2"/>
  <cols>
    <col min="1" max="1" width="10.6640625" style="907" customWidth="1"/>
    <col min="2" max="2" width="2.5546875" style="907" customWidth="1"/>
    <col min="3" max="3" width="4.88671875" style="907" customWidth="1"/>
    <col min="4" max="4" width="1.88671875" style="907" customWidth="1"/>
    <col min="5" max="5" width="8.109375" style="907" customWidth="1"/>
    <col min="6" max="6" width="12.44140625" style="907" customWidth="1"/>
    <col min="7" max="7" width="11.44140625" style="907" customWidth="1"/>
    <col min="8" max="8" width="10.6640625" style="907" customWidth="1"/>
    <col min="9" max="9" width="5.33203125" style="907" customWidth="1"/>
    <col min="10" max="10" width="10.44140625" style="907" customWidth="1"/>
    <col min="11" max="11" width="5.6640625" style="907" customWidth="1"/>
    <col min="12" max="12" width="1.6640625" style="907" customWidth="1"/>
    <col min="13" max="13" width="1.5546875" style="907" customWidth="1"/>
    <col min="14" max="14" width="13.33203125" style="907" customWidth="1"/>
    <col min="15" max="15" width="1.44140625" style="907" customWidth="1"/>
    <col min="16" max="16384" width="11.44140625" style="907"/>
  </cols>
  <sheetData>
    <row r="1" spans="1:16" s="906" customFormat="1" ht="15.75" customHeight="1">
      <c r="A1" s="879"/>
      <c r="B1" s="879"/>
      <c r="C1" s="879"/>
      <c r="D1" s="879"/>
      <c r="E1" s="879"/>
      <c r="F1" s="879"/>
      <c r="G1" s="879"/>
      <c r="H1" s="879"/>
      <c r="I1" s="879"/>
      <c r="J1" s="879"/>
      <c r="K1" s="879"/>
      <c r="L1"/>
      <c r="M1"/>
      <c r="N1"/>
    </row>
    <row r="2" spans="1:16" s="906" customFormat="1" ht="15.75" customHeight="1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/>
      <c r="M2"/>
      <c r="N2"/>
    </row>
    <row r="3" spans="1:16" s="906" customFormat="1" ht="15.75" customHeight="1">
      <c r="A3" s="881"/>
      <c r="B3" s="881"/>
      <c r="C3" s="881"/>
      <c r="D3"/>
      <c r="E3"/>
      <c r="F3"/>
      <c r="G3"/>
      <c r="H3"/>
      <c r="I3" s="882"/>
      <c r="J3" s="883"/>
      <c r="K3" s="883"/>
      <c r="L3"/>
      <c r="M3"/>
      <c r="N3"/>
    </row>
    <row r="4" spans="1:16" s="906" customFormat="1" ht="15.75" customHeight="1">
      <c r="A4" s="1542" t="s">
        <v>214</v>
      </c>
      <c r="B4" s="1542"/>
      <c r="C4" s="1542"/>
      <c r="D4" s="1542"/>
      <c r="E4" s="1542"/>
      <c r="F4" s="1542"/>
      <c r="G4" s="1542"/>
      <c r="H4" s="1542"/>
      <c r="I4" s="1542"/>
      <c r="J4" s="1542"/>
      <c r="K4" s="1542"/>
      <c r="L4" s="1542"/>
      <c r="M4" s="1542"/>
      <c r="N4" s="1542"/>
    </row>
    <row r="5" spans="1:16" s="906" customFormat="1" ht="15.75" customHeight="1">
      <c r="A5" s="1543">
        <v>0</v>
      </c>
      <c r="B5" s="1543"/>
      <c r="C5" s="1543"/>
      <c r="D5" s="1543"/>
      <c r="E5" s="1543"/>
      <c r="F5" s="1543"/>
      <c r="G5" s="1543"/>
      <c r="H5" s="1543"/>
      <c r="I5" s="1543"/>
      <c r="J5" s="1543"/>
      <c r="K5" s="1543"/>
      <c r="L5" s="1543"/>
      <c r="M5" s="1543"/>
      <c r="N5" s="1543"/>
    </row>
    <row r="6" spans="1:16" ht="8.25" customHeight="1">
      <c r="A6" s="941"/>
      <c r="B6" s="941"/>
      <c r="C6" s="941"/>
      <c r="D6" s="941"/>
      <c r="E6" s="941"/>
      <c r="F6" s="941"/>
      <c r="G6" s="941"/>
      <c r="H6" s="941"/>
      <c r="I6" s="941"/>
      <c r="J6" s="941"/>
      <c r="K6" s="941"/>
      <c r="L6" s="941"/>
      <c r="M6" s="941"/>
      <c r="N6" s="941"/>
    </row>
    <row r="7" spans="1:16" ht="8.25" customHeight="1">
      <c r="A7" s="896"/>
      <c r="B7" s="896"/>
      <c r="C7" s="896"/>
      <c r="D7" s="896"/>
      <c r="E7" s="941"/>
      <c r="F7" s="941"/>
      <c r="G7" s="941"/>
      <c r="H7" s="941"/>
      <c r="I7" s="941"/>
      <c r="J7" s="941"/>
      <c r="K7" s="941"/>
      <c r="L7" s="941"/>
      <c r="M7" s="941"/>
      <c r="N7" s="941"/>
    </row>
    <row r="8" spans="1:16" ht="15.75" customHeight="1">
      <c r="A8" s="1207" t="s">
        <v>215</v>
      </c>
      <c r="B8" s="899" t="s">
        <v>3</v>
      </c>
      <c r="C8" s="1534">
        <f>+FORMATO!P2</f>
        <v>0</v>
      </c>
      <c r="D8" s="1534"/>
      <c r="E8" s="1534"/>
      <c r="F8" s="1534"/>
      <c r="G8" s="1534"/>
      <c r="H8" s="1534"/>
      <c r="I8" s="1534"/>
      <c r="J8" s="1534"/>
      <c r="K8" s="908"/>
      <c r="L8" s="1214" t="s">
        <v>216</v>
      </c>
      <c r="M8" s="899" t="s">
        <v>3</v>
      </c>
      <c r="N8" s="884" t="s">
        <v>217</v>
      </c>
    </row>
    <row r="9" spans="1:16" ht="15.75" customHeight="1">
      <c r="A9" s="1207" t="s">
        <v>218</v>
      </c>
      <c r="B9" s="899" t="s">
        <v>3</v>
      </c>
      <c r="C9" s="1534">
        <f>+FORMATO!P3</f>
        <v>0</v>
      </c>
      <c r="D9" s="1534"/>
      <c r="E9" s="1534"/>
      <c r="F9" s="1534"/>
      <c r="G9" s="1534"/>
      <c r="H9" s="1534"/>
      <c r="I9" s="1534"/>
      <c r="J9" s="909"/>
      <c r="K9" s="909"/>
      <c r="L9" s="1214" t="s">
        <v>575</v>
      </c>
      <c r="M9" s="899" t="s">
        <v>3</v>
      </c>
      <c r="N9" s="1236">
        <f>+FORMATO!P7</f>
        <v>0</v>
      </c>
    </row>
    <row r="10" spans="1:16" ht="15.75" customHeight="1">
      <c r="A10" s="1207" t="s">
        <v>219</v>
      </c>
      <c r="B10" s="899" t="s">
        <v>3</v>
      </c>
      <c r="C10" s="1534">
        <f>+FORMATO!P4</f>
        <v>0</v>
      </c>
      <c r="D10" s="1534"/>
      <c r="E10" s="1534"/>
      <c r="F10" s="1534"/>
      <c r="G10" s="1534"/>
      <c r="H10" s="1534"/>
      <c r="I10" s="1534"/>
      <c r="J10" s="909"/>
      <c r="K10" s="909"/>
      <c r="L10" s="1214" t="s">
        <v>610</v>
      </c>
      <c r="M10" s="899" t="s">
        <v>3</v>
      </c>
      <c r="N10" s="1236">
        <f>+FORMATO!P9</f>
        <v>0</v>
      </c>
    </row>
    <row r="11" spans="1:16" ht="23.4" customHeight="1">
      <c r="A11" s="1207" t="s">
        <v>221</v>
      </c>
      <c r="B11" s="899" t="s">
        <v>3</v>
      </c>
      <c r="C11" s="1534">
        <f>+FORMATO!P5</f>
        <v>0</v>
      </c>
      <c r="D11" s="1534"/>
      <c r="E11" s="1534"/>
      <c r="F11" s="1534"/>
      <c r="G11" s="1534"/>
      <c r="H11" s="1534"/>
      <c r="I11" s="1534"/>
      <c r="J11" s="1534"/>
      <c r="K11" s="1535" t="s">
        <v>220</v>
      </c>
      <c r="L11" s="1535"/>
      <c r="M11" s="899" t="s">
        <v>3</v>
      </c>
      <c r="N11" s="1217">
        <f>+FORMATO!P8</f>
        <v>0</v>
      </c>
    </row>
    <row r="12" spans="1:16" ht="15.75" customHeight="1">
      <c r="A12" s="1021" t="s">
        <v>222</v>
      </c>
      <c r="B12" s="918"/>
      <c r="C12" s="918"/>
      <c r="D12" s="899"/>
      <c r="E12" s="910"/>
      <c r="F12" s="910"/>
      <c r="G12" s="910"/>
      <c r="H12" s="910"/>
      <c r="I12" s="900"/>
      <c r="J12" s="900"/>
      <c r="K12" s="900"/>
      <c r="L12"/>
      <c r="M12"/>
      <c r="N12" s="906"/>
    </row>
    <row r="13" spans="1:16" ht="31.5" customHeight="1">
      <c r="A13" s="1544" t="s">
        <v>223</v>
      </c>
      <c r="B13" s="1545"/>
      <c r="C13" s="1545"/>
      <c r="D13" s="1545"/>
      <c r="E13" s="1545"/>
      <c r="F13" s="1545"/>
      <c r="G13" s="1545"/>
      <c r="H13" s="1545"/>
      <c r="I13" s="1545"/>
      <c r="J13" s="1545"/>
      <c r="K13" s="1545"/>
      <c r="L13" s="1545"/>
      <c r="M13" s="1545"/>
      <c r="N13" s="1546"/>
    </row>
    <row r="14" spans="1:16" ht="17.25" customHeight="1">
      <c r="A14" s="1547" t="s">
        <v>576</v>
      </c>
      <c r="B14" s="1548"/>
      <c r="C14" s="1548"/>
      <c r="D14" s="1548"/>
      <c r="E14" s="1548"/>
      <c r="F14" s="1548"/>
      <c r="G14" s="1548"/>
      <c r="H14" s="1548"/>
      <c r="I14" s="1548"/>
      <c r="J14" s="1548"/>
      <c r="K14" s="1548"/>
      <c r="L14" s="1548"/>
      <c r="M14" s="1548"/>
      <c r="N14" s="1549"/>
    </row>
    <row r="15" spans="1:16" ht="6.6" customHeight="1">
      <c r="A15" s="885"/>
      <c r="B15" s="886"/>
      <c r="C15" s="886"/>
      <c r="D15" s="886"/>
      <c r="E15" s="917"/>
      <c r="F15" s="917"/>
      <c r="G15" s="917"/>
      <c r="H15" s="917"/>
      <c r="I15" s="917"/>
      <c r="J15" s="917"/>
      <c r="K15" s="917"/>
      <c r="L15" s="919"/>
      <c r="M15" s="919"/>
      <c r="N15" s="1115"/>
      <c r="O15" s="941"/>
      <c r="P15" s="941"/>
    </row>
    <row r="16" spans="1:16" ht="15.75" customHeight="1">
      <c r="A16" s="887" t="s">
        <v>119</v>
      </c>
      <c r="B16" s="1223"/>
      <c r="C16" s="1223"/>
      <c r="D16" s="1223"/>
      <c r="E16" s="1224"/>
      <c r="F16" s="1224"/>
      <c r="G16" s="1224"/>
      <c r="H16" s="1224"/>
      <c r="I16" s="1224"/>
      <c r="J16" s="1224"/>
      <c r="K16" s="1224"/>
      <c r="L16"/>
      <c r="M16"/>
      <c r="N16" s="888"/>
      <c r="O16" s="941"/>
      <c r="P16" s="941"/>
    </row>
    <row r="17" spans="1:16" ht="15.75" customHeight="1">
      <c r="A17" s="902" t="s">
        <v>224</v>
      </c>
      <c r="B17" s="1225"/>
      <c r="C17" s="1225"/>
      <c r="D17" s="1226" t="s">
        <v>3</v>
      </c>
      <c r="E17" s="900">
        <f>+FORMATO!P15</f>
        <v>0</v>
      </c>
      <c r="F17" s="900"/>
      <c r="G17" s="900"/>
      <c r="H17" s="900"/>
      <c r="I17" s="1227"/>
      <c r="J17" s="1228"/>
      <c r="K17" s="884"/>
      <c r="L17" s="1229" t="s">
        <v>225</v>
      </c>
      <c r="M17" s="1226" t="s">
        <v>3</v>
      </c>
      <c r="N17" s="1237">
        <f>+FORMATO!P11</f>
        <v>0</v>
      </c>
      <c r="O17" s="941"/>
      <c r="P17" s="941"/>
    </row>
    <row r="18" spans="1:16" ht="15.75" customHeight="1">
      <c r="A18" s="902" t="s">
        <v>226</v>
      </c>
      <c r="B18" s="1225"/>
      <c r="C18" s="1225"/>
      <c r="D18" s="1226" t="s">
        <v>3</v>
      </c>
      <c r="E18" s="900">
        <f>+FORMATO!P16</f>
        <v>0</v>
      </c>
      <c r="F18" s="900"/>
      <c r="G18" s="900"/>
      <c r="H18" s="900"/>
      <c r="I18" s="1227"/>
      <c r="J18" s="1228"/>
      <c r="K18" s="884"/>
      <c r="L18" s="1229" t="s">
        <v>227</v>
      </c>
      <c r="M18" s="1226" t="s">
        <v>3</v>
      </c>
      <c r="N18" s="1230">
        <f>+FORMATO!P12</f>
        <v>0</v>
      </c>
      <c r="O18" s="941"/>
      <c r="P18" s="941"/>
    </row>
    <row r="19" spans="1:16" ht="15.75" customHeight="1">
      <c r="A19" s="902" t="s">
        <v>574</v>
      </c>
      <c r="B19" s="1225"/>
      <c r="C19" s="1225"/>
      <c r="D19" s="1226" t="s">
        <v>3</v>
      </c>
      <c r="E19" s="900">
        <f>+FORMATO!P17</f>
        <v>0</v>
      </c>
      <c r="F19" s="900"/>
      <c r="G19" s="900"/>
      <c r="H19" s="900"/>
      <c r="I19" s="1227"/>
      <c r="J19" s="1228"/>
      <c r="K19" s="884"/>
      <c r="L19" s="1229" t="s">
        <v>228</v>
      </c>
      <c r="M19" s="1226" t="s">
        <v>3</v>
      </c>
      <c r="N19" s="1230">
        <f>+FORMATO!P13</f>
        <v>0</v>
      </c>
      <c r="O19" s="941"/>
      <c r="P19" s="941">
        <f>+FORMATO!G11</f>
        <v>0</v>
      </c>
    </row>
    <row r="20" spans="1:16" ht="15.75" customHeight="1">
      <c r="A20" s="903" t="s">
        <v>229</v>
      </c>
      <c r="B20" s="1116"/>
      <c r="C20" s="1116"/>
      <c r="D20" s="904" t="s">
        <v>3</v>
      </c>
      <c r="E20" s="1201" t="s">
        <v>230</v>
      </c>
      <c r="F20" s="1117"/>
      <c r="G20" s="1117"/>
      <c r="H20" s="1117"/>
      <c r="I20" s="911"/>
      <c r="J20" s="911"/>
      <c r="K20" s="889"/>
      <c r="L20" s="1231"/>
      <c r="M20" s="1231"/>
      <c r="N20" s="1232"/>
      <c r="O20" s="941"/>
      <c r="P20" s="941"/>
    </row>
    <row r="21" spans="1:16" ht="16.5" customHeight="1">
      <c r="A21" s="1118"/>
      <c r="B21" s="1119"/>
      <c r="C21" s="1119"/>
      <c r="D21" s="1541"/>
      <c r="E21" s="1541"/>
      <c r="F21" s="1541"/>
      <c r="G21" s="1541"/>
      <c r="H21" s="1541"/>
      <c r="I21" s="1541"/>
      <c r="J21" s="1541"/>
      <c r="K21" s="1541"/>
      <c r="L21" s="1541"/>
      <c r="M21" s="1049"/>
      <c r="N21" s="1120"/>
      <c r="O21" s="941"/>
      <c r="P21" s="941"/>
    </row>
    <row r="22" spans="1:16" ht="21" customHeight="1">
      <c r="A22" s="1121"/>
      <c r="B22" s="896"/>
      <c r="C22" s="896"/>
      <c r="D22" s="936" t="s">
        <v>231</v>
      </c>
      <c r="E22" s="937"/>
      <c r="F22" s="937"/>
      <c r="G22" s="937"/>
      <c r="H22" s="937"/>
      <c r="I22" s="938" t="s">
        <v>232</v>
      </c>
      <c r="J22" s="938" t="s">
        <v>233</v>
      </c>
      <c r="K22" s="890"/>
      <c r="L22" s="896"/>
      <c r="M22" s="896"/>
      <c r="N22" s="1122"/>
      <c r="O22" s="941"/>
      <c r="P22" s="941"/>
    </row>
    <row r="23" spans="1:16" s="912" customFormat="1" ht="21" customHeight="1">
      <c r="A23" s="891"/>
      <c r="B23" s="237"/>
      <c r="C23" s="237"/>
      <c r="D23" s="915" t="s">
        <v>234</v>
      </c>
      <c r="E23" s="922"/>
      <c r="F23" s="922"/>
      <c r="G23" s="922"/>
      <c r="H23" s="922"/>
      <c r="I23" s="916" t="s">
        <v>235</v>
      </c>
      <c r="J23" s="894">
        <f>+'DATOS ENS'!H14</f>
        <v>0</v>
      </c>
      <c r="K23" s="892"/>
      <c r="L23" s="237"/>
      <c r="M23" s="237"/>
      <c r="N23" s="893"/>
    </row>
    <row r="24" spans="1:16" s="912" customFormat="1" ht="21" customHeight="1">
      <c r="A24" s="891"/>
      <c r="B24" s="237"/>
      <c r="C24" s="237"/>
      <c r="D24" s="927" t="s">
        <v>236</v>
      </c>
      <c r="E24" s="897"/>
      <c r="F24" s="897"/>
      <c r="G24" s="897"/>
      <c r="H24" s="897"/>
      <c r="I24" s="1014" t="s">
        <v>235</v>
      </c>
      <c r="J24" s="894">
        <f>+'DATOS ENS'!H17</f>
        <v>0</v>
      </c>
      <c r="K24" s="892"/>
      <c r="L24" s="237"/>
      <c r="M24" s="237"/>
      <c r="N24" s="893"/>
    </row>
    <row r="25" spans="1:16" s="912" customFormat="1" ht="30" customHeight="1">
      <c r="A25" s="891"/>
      <c r="B25" s="237"/>
      <c r="C25" s="237"/>
      <c r="D25" s="1539" t="s">
        <v>237</v>
      </c>
      <c r="E25" s="1540"/>
      <c r="F25" s="1540"/>
      <c r="G25" s="1540"/>
      <c r="H25" s="1540"/>
      <c r="I25" s="916" t="s">
        <v>187</v>
      </c>
      <c r="J25" s="1024" t="e">
        <f>+IF('DATOS ENS'!H18&lt;10,FIXED('DATOS ENS'!H18,1),FIXED('DATOS ENS'!H18,0))</f>
        <v>#DIV/0!</v>
      </c>
      <c r="K25" s="892"/>
      <c r="L25" s="237"/>
      <c r="M25" s="237"/>
      <c r="N25" s="893"/>
    </row>
    <row r="26" spans="1:16" ht="3.75" customHeight="1">
      <c r="A26" s="1121"/>
      <c r="B26" s="896"/>
      <c r="C26" s="896"/>
      <c r="D26" s="884"/>
      <c r="E26" s="896"/>
      <c r="F26" s="896"/>
      <c r="G26" s="896"/>
      <c r="H26" s="896"/>
      <c r="I26" s="896"/>
      <c r="J26" s="896"/>
      <c r="K26" s="896"/>
      <c r="L26" s="896"/>
      <c r="M26" s="896"/>
      <c r="N26" s="1122"/>
      <c r="O26" s="913"/>
      <c r="P26" s="941"/>
    </row>
    <row r="27" spans="1:16" ht="15.75" customHeight="1">
      <c r="A27" s="895"/>
      <c r="B27" s="1123"/>
      <c r="C27" s="1123"/>
      <c r="D27" s="1123"/>
      <c r="E27" s="1124"/>
      <c r="F27" s="1124"/>
      <c r="G27" s="1124"/>
      <c r="H27" s="1124"/>
      <c r="I27" s="1125"/>
      <c r="J27" s="1126"/>
      <c r="K27" s="1127"/>
      <c r="L27" s="1128"/>
      <c r="M27" s="1128"/>
      <c r="N27" s="1129"/>
      <c r="O27" s="913"/>
      <c r="P27" s="941"/>
    </row>
    <row r="28" spans="1:16" ht="22.5" customHeight="1">
      <c r="A28" s="928" t="s">
        <v>238</v>
      </c>
      <c r="B28" s="928"/>
      <c r="C28" s="928"/>
      <c r="D28" s="929"/>
      <c r="E28" s="930"/>
      <c r="F28" s="930"/>
      <c r="G28" s="930"/>
      <c r="H28" s="930"/>
      <c r="I28" s="931"/>
      <c r="J28" s="932"/>
      <c r="K28" s="933"/>
      <c r="L28" s="934"/>
      <c r="M28" s="934"/>
      <c r="N28" s="934"/>
      <c r="O28" s="913"/>
      <c r="P28" s="941"/>
    </row>
    <row r="29" spans="1:16" ht="19.5" customHeight="1">
      <c r="A29" s="1015" t="s">
        <v>239</v>
      </c>
      <c r="B29" s="941"/>
      <c r="C29" s="935"/>
      <c r="D29" s="896"/>
      <c r="E29" s="941"/>
      <c r="F29" s="1550" t="s">
        <v>608</v>
      </c>
      <c r="G29" s="1550"/>
      <c r="H29" s="1550"/>
      <c r="I29" s="935"/>
      <c r="J29" s="896"/>
      <c r="K29" s="896"/>
      <c r="L29" s="896"/>
      <c r="M29" s="896"/>
      <c r="N29" s="896"/>
      <c r="O29" s="913"/>
      <c r="P29" s="941"/>
    </row>
    <row r="30" spans="1:16" ht="12" customHeight="1">
      <c r="A30" s="896"/>
      <c r="B30" s="896"/>
      <c r="C30" s="896"/>
      <c r="D30" s="896"/>
      <c r="E30" s="941"/>
      <c r="F30" s="941"/>
      <c r="G30" s="941"/>
      <c r="H30" s="941"/>
      <c r="I30" s="896"/>
      <c r="J30" s="896"/>
      <c r="K30" s="896"/>
      <c r="L30" s="896"/>
      <c r="M30" s="896"/>
      <c r="N30" s="896"/>
      <c r="O30" s="913"/>
      <c r="P30" s="941"/>
    </row>
    <row r="31" spans="1:16" ht="19.5" customHeight="1">
      <c r="A31" s="1013" t="s">
        <v>570</v>
      </c>
      <c r="B31" s="896"/>
      <c r="C31" s="896"/>
      <c r="D31" s="896"/>
      <c r="E31" s="941"/>
      <c r="F31" s="941"/>
      <c r="G31" s="941"/>
      <c r="H31" s="941"/>
      <c r="I31" s="896"/>
      <c r="J31" s="896"/>
      <c r="K31" s="896"/>
      <c r="L31" s="896"/>
      <c r="M31" s="896"/>
      <c r="N31" s="896"/>
      <c r="O31" s="913"/>
      <c r="P31" s="941"/>
    </row>
    <row r="32" spans="1:16" ht="19.5" customHeight="1">
      <c r="A32" s="1211" t="s">
        <v>571</v>
      </c>
      <c r="B32" s="896"/>
      <c r="C32" s="896"/>
      <c r="D32" s="896"/>
      <c r="E32" s="941"/>
      <c r="F32" s="1190">
        <f>+'DATOS ENS'!N11</f>
        <v>0</v>
      </c>
      <c r="G32" s="941"/>
      <c r="H32" s="941"/>
      <c r="I32" s="896"/>
      <c r="J32" s="896"/>
      <c r="K32" s="896"/>
      <c r="L32" s="896"/>
      <c r="M32" s="896"/>
      <c r="N32" s="896"/>
      <c r="O32" s="913"/>
      <c r="P32" s="941"/>
    </row>
    <row r="33" spans="1:16" ht="19.5" customHeight="1">
      <c r="A33" s="1211" t="s">
        <v>572</v>
      </c>
      <c r="B33" s="896"/>
      <c r="C33" s="896"/>
      <c r="D33" s="896"/>
      <c r="E33" s="941"/>
      <c r="F33" s="1190" t="str">
        <f>+'DATOS ENS'!N12</f>
        <v>-</v>
      </c>
      <c r="G33" s="941"/>
      <c r="H33" s="941"/>
      <c r="I33" s="896"/>
      <c r="J33" s="896"/>
      <c r="K33" s="896"/>
      <c r="L33" s="896"/>
      <c r="M33" s="896"/>
      <c r="N33" s="896"/>
      <c r="O33" s="913"/>
      <c r="P33" s="941"/>
    </row>
    <row r="34" spans="1:16" ht="12" customHeight="1">
      <c r="A34" s="896"/>
      <c r="B34" s="896"/>
      <c r="C34" s="896"/>
      <c r="D34" s="896"/>
      <c r="E34" s="941"/>
      <c r="F34" s="941"/>
      <c r="G34" s="941"/>
      <c r="H34" s="941"/>
      <c r="I34" s="896"/>
      <c r="J34" s="896"/>
      <c r="K34" s="896"/>
      <c r="L34" s="896"/>
      <c r="M34" s="896"/>
      <c r="N34" s="896"/>
      <c r="O34" s="913"/>
      <c r="P34" s="941"/>
    </row>
    <row r="35" spans="1:16" ht="12" customHeight="1">
      <c r="A35" s="1013" t="s">
        <v>240</v>
      </c>
      <c r="B35" s="896"/>
      <c r="C35" s="896"/>
      <c r="D35" s="896"/>
      <c r="E35" s="941"/>
      <c r="F35" s="941"/>
      <c r="G35" s="941"/>
      <c r="H35" s="941"/>
      <c r="I35" s="896"/>
      <c r="J35" s="896"/>
      <c r="K35" s="896"/>
      <c r="L35" s="896"/>
      <c r="M35" s="896"/>
      <c r="N35" s="896"/>
      <c r="O35" s="913"/>
      <c r="P35" s="941"/>
    </row>
    <row r="36" spans="1:16" ht="17.25" customHeight="1">
      <c r="A36" s="1536" t="s">
        <v>623</v>
      </c>
      <c r="B36" s="1536"/>
      <c r="C36" s="1536"/>
      <c r="D36" s="1536"/>
      <c r="E36" s="1536"/>
      <c r="F36" s="1536"/>
      <c r="G36" s="1536"/>
      <c r="H36" s="1536"/>
      <c r="I36" s="1536"/>
      <c r="J36" s="1536"/>
      <c r="K36" s="1536"/>
      <c r="L36" s="1536"/>
      <c r="M36" s="1536"/>
      <c r="N36" s="1536"/>
      <c r="O36" s="913"/>
      <c r="P36" s="941"/>
    </row>
    <row r="37" spans="1:16" ht="35.4" customHeight="1">
      <c r="A37" s="1537" t="s">
        <v>624</v>
      </c>
      <c r="B37" s="1537"/>
      <c r="C37" s="1537"/>
      <c r="D37" s="1537"/>
      <c r="E37" s="1537"/>
      <c r="F37" s="1537"/>
      <c r="G37" s="1537"/>
      <c r="H37" s="1537"/>
      <c r="I37" s="1537"/>
      <c r="J37" s="1537"/>
      <c r="K37" s="1537"/>
      <c r="L37" s="1537"/>
      <c r="M37" s="1537"/>
      <c r="N37" s="1537"/>
      <c r="O37" s="912"/>
      <c r="P37" s="941"/>
    </row>
    <row r="38" spans="1:16" ht="14.4" customHeight="1">
      <c r="A38" s="1537" t="s">
        <v>625</v>
      </c>
      <c r="B38" s="1537"/>
      <c r="C38" s="1537"/>
      <c r="D38" s="1537"/>
      <c r="E38" s="1537"/>
      <c r="F38" s="1537"/>
      <c r="G38" s="1537"/>
      <c r="H38" s="1537"/>
      <c r="I38" s="1537"/>
      <c r="J38" s="1537"/>
      <c r="K38" s="1537"/>
      <c r="L38" s="1537"/>
      <c r="M38" s="1537"/>
      <c r="N38" s="1537"/>
      <c r="O38" s="941"/>
      <c r="P38" s="941"/>
    </row>
    <row r="39" spans="1:16" ht="26.4" customHeight="1">
      <c r="A39" s="1537" t="s">
        <v>626</v>
      </c>
      <c r="B39" s="1537"/>
      <c r="C39" s="1537"/>
      <c r="D39" s="1537"/>
      <c r="E39" s="1537"/>
      <c r="F39" s="1537"/>
      <c r="G39" s="1537"/>
      <c r="H39" s="1537"/>
      <c r="I39" s="1537"/>
      <c r="J39" s="1537"/>
      <c r="K39" s="1537"/>
      <c r="L39" s="1537"/>
      <c r="M39" s="1537"/>
      <c r="N39" s="1537"/>
      <c r="O39" s="941"/>
      <c r="P39" s="941"/>
    </row>
    <row r="40" spans="1:16" ht="24" customHeight="1">
      <c r="A40" s="1538" t="s">
        <v>627</v>
      </c>
      <c r="B40" s="1538"/>
      <c r="C40" s="1538"/>
      <c r="D40" s="1538"/>
      <c r="E40" s="1538"/>
      <c r="F40" s="1538"/>
      <c r="G40" s="1538"/>
      <c r="H40" s="1538"/>
      <c r="I40" s="1538"/>
      <c r="J40" s="1538"/>
      <c r="K40" s="1538"/>
      <c r="L40" s="1538"/>
      <c r="M40" s="1538"/>
      <c r="N40" s="1538"/>
      <c r="O40" s="941"/>
      <c r="P40" s="941"/>
    </row>
    <row r="41" spans="1:16" ht="4.8" customHeight="1">
      <c r="A41" s="926"/>
      <c r="B41" s="925"/>
      <c r="C41" s="925"/>
      <c r="D41" s="925"/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41"/>
      <c r="P41" s="941"/>
    </row>
    <row r="42" spans="1:16" ht="18.75" customHeight="1">
      <c r="A42" s="1013" t="s">
        <v>241</v>
      </c>
      <c r="B42" s="926"/>
      <c r="C42" s="1018"/>
      <c r="D42" s="1019"/>
      <c r="E42" s="1019"/>
      <c r="F42" s="1020"/>
      <c r="G42" s="1020"/>
      <c r="H42" s="1020"/>
      <c r="I42" s="1020"/>
      <c r="J42" s="1020"/>
      <c r="K42" s="1020"/>
      <c r="L42" s="1020"/>
      <c r="M42" s="1020"/>
      <c r="N42" s="1020"/>
      <c r="O42" s="941"/>
      <c r="P42" s="939"/>
    </row>
    <row r="43" spans="1:16" ht="14.25" customHeight="1">
      <c r="A43" s="926"/>
      <c r="B43" s="925"/>
      <c r="C43" s="925"/>
      <c r="D43" s="925"/>
      <c r="E43" s="925"/>
      <c r="F43" s="925"/>
      <c r="G43" s="925"/>
      <c r="H43" s="925"/>
      <c r="I43" s="925"/>
      <c r="J43" s="925"/>
      <c r="K43" s="925"/>
      <c r="L43" s="925"/>
      <c r="M43" s="925"/>
      <c r="N43" s="905"/>
      <c r="O43" s="941"/>
      <c r="P43" s="941"/>
    </row>
    <row r="44" spans="1:16" ht="31.5" customHeight="1">
      <c r="A44" s="926"/>
      <c r="B44" s="925"/>
      <c r="C44" s="925"/>
      <c r="D44" s="925"/>
      <c r="E44" s="925"/>
      <c r="F44" s="925"/>
      <c r="G44" s="925"/>
      <c r="H44" s="925"/>
      <c r="I44" s="925"/>
      <c r="J44" s="925"/>
      <c r="K44" s="925"/>
      <c r="L44" s="925"/>
      <c r="M44" s="925"/>
      <c r="N44" s="905"/>
      <c r="O44" s="941"/>
      <c r="P44" s="941"/>
    </row>
    <row r="45" spans="1:16" ht="14.25" customHeight="1">
      <c r="A45" s="926"/>
      <c r="B45" s="925"/>
      <c r="C45" s="925"/>
      <c r="D45" s="925"/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41"/>
      <c r="P45" s="941"/>
    </row>
    <row r="46" spans="1:16" ht="14.25" customHeight="1">
      <c r="A46" s="896"/>
      <c r="B46" s="896"/>
      <c r="C46" s="896"/>
      <c r="D46" s="896"/>
      <c r="E46" s="896"/>
      <c r="F46" s="896"/>
      <c r="G46" s="896"/>
      <c r="H46" s="896"/>
      <c r="I46" s="896"/>
      <c r="J46" s="896"/>
      <c r="K46" s="896"/>
      <c r="L46" s="896"/>
      <c r="M46" s="896"/>
      <c r="N46" s="896"/>
      <c r="O46" s="914"/>
      <c r="P46" s="941"/>
    </row>
    <row r="47" spans="1:16" ht="14.25" customHeight="1">
      <c r="A47" s="896"/>
      <c r="B47" s="896"/>
      <c r="C47" s="896"/>
      <c r="D47" s="896"/>
      <c r="E47" s="896"/>
      <c r="F47" s="896"/>
      <c r="G47" s="896"/>
      <c r="H47" s="896"/>
      <c r="I47" s="896"/>
      <c r="J47" s="896"/>
      <c r="K47" s="896"/>
      <c r="L47" s="896"/>
      <c r="M47" s="896"/>
      <c r="N47" s="896"/>
      <c r="O47" s="914"/>
      <c r="P47" s="941"/>
    </row>
    <row r="48" spans="1:16" ht="14.25" customHeight="1">
      <c r="A48" s="897"/>
      <c r="B48" s="897"/>
      <c r="C48" s="89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941"/>
      <c r="P48" s="941"/>
    </row>
    <row r="49" spans="1:16" ht="14.25" customHeight="1">
      <c r="A49" s="897" t="s">
        <v>243</v>
      </c>
      <c r="B49" s="897"/>
      <c r="C49" s="897"/>
      <c r="D49" s="237"/>
      <c r="E49" s="237"/>
      <c r="F49" s="237"/>
      <c r="G49" s="237"/>
      <c r="H49" s="237"/>
      <c r="I49" s="237"/>
      <c r="J49" s="896"/>
      <c r="K49" s="896"/>
      <c r="L49" s="896"/>
      <c r="M49" s="896"/>
      <c r="N49" s="941"/>
      <c r="O49" s="941"/>
      <c r="P49" s="941"/>
    </row>
    <row r="50" spans="1:16" ht="14.25" customHeight="1">
      <c r="A50" s="897" t="s">
        <v>628</v>
      </c>
      <c r="B50" s="897"/>
      <c r="C50" s="897"/>
      <c r="D50" s="896"/>
      <c r="E50" s="896"/>
      <c r="F50" s="896"/>
      <c r="G50" s="896"/>
      <c r="H50" s="896"/>
      <c r="I50" s="896"/>
      <c r="J50" s="896"/>
      <c r="K50" s="896"/>
      <c r="L50" s="896"/>
      <c r="M50" s="896"/>
      <c r="N50" s="905" t="s">
        <v>242</v>
      </c>
      <c r="O50" s="941"/>
      <c r="P50" s="941"/>
    </row>
  </sheetData>
  <sheetProtection algorithmName="SHA-512" hashValue="0NDKEz2rhA6hgH+SvuDD2vdLVCmVG74MLkEq+ha9p750TWk6W3BhgMhhr/d2H+xigd0555HHImH6KtCoHYovfQ==" saltValue="pURTLoX3gc+nDS2UahK/CA==" spinCount="100000" sheet="1" objects="1" scenarios="1"/>
  <protectedRanges>
    <protectedRange sqref="E15:H15" name="Rango3_3_1_1_1_1_1_1_1_1"/>
    <protectedRange sqref="E10:H12" name="Rango3_3_1_1_1_1_1_1_1_1_1"/>
    <protectedRange sqref="E8:H9" name="Rango3_3_1_1_1_1_1_2_1"/>
    <protectedRange sqref="C10:C11" name="Rango3_3_1_1_1_1_1_1_1_1_1_1"/>
    <protectedRange sqref="C8:C9" name="Rango3_3_1_1_1_1_1_2_1_1"/>
  </protectedRanges>
  <mergeCells count="17">
    <mergeCell ref="A40:N40"/>
    <mergeCell ref="A38:N38"/>
    <mergeCell ref="D25:H25"/>
    <mergeCell ref="D21:L21"/>
    <mergeCell ref="A4:N4"/>
    <mergeCell ref="A5:N5"/>
    <mergeCell ref="A13:N13"/>
    <mergeCell ref="A14:N14"/>
    <mergeCell ref="F29:H29"/>
    <mergeCell ref="C8:J8"/>
    <mergeCell ref="C9:I9"/>
    <mergeCell ref="C10:I10"/>
    <mergeCell ref="C11:J11"/>
    <mergeCell ref="K11:L11"/>
    <mergeCell ref="A36:N36"/>
    <mergeCell ref="A37:N37"/>
    <mergeCell ref="A39:N39"/>
  </mergeCells>
  <dataValidations count="1">
    <dataValidation type="list" allowBlank="1" showInputMessage="1" showErrorMessage="1" sqref="F29:H29" xr:uid="{00000000-0002-0000-0700-000000000000}">
      <mc:AlternateContent xmlns:x12ac="http://schemas.microsoft.com/office/spreadsheetml/2011/1/ac" xmlns:mc="http://schemas.openxmlformats.org/markup-compatibility/2006">
        <mc:Choice Requires="x12ac">
          <x12ac:list>- ," ""A"" lavado con agua"," ""B"" lavado con agente humectante"</x12ac:list>
        </mc:Choice>
        <mc:Fallback>
          <formula1>"- , ""A"" lavado con agua, ""B"" lavado con agente humectante"</formula1>
        </mc:Fallback>
      </mc:AlternateContent>
    </dataValidation>
  </dataValidations>
  <printOptions horizontalCentered="1"/>
  <pageMargins left="0" right="0" top="0.98425196850393704" bottom="0" header="0.11811023622047245" footer="0"/>
  <pageSetup paperSize="274" scale="90" fitToWidth="0" fitToHeight="0" orientation="portrait" r:id="rId1"/>
  <headerFooter scaleWithDoc="0">
    <oddHeader>&amp;C&amp;G</oddHeader>
  </headerFooter>
  <ignoredErrors>
    <ignoredError sqref="F32:F33" unlockedFormula="1"/>
  </ignoredError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7"/>
  <sheetViews>
    <sheetView showGridLines="0" zoomScaleNormal="100" zoomScaleSheetLayoutView="100" workbookViewId="0">
      <selection activeCell="I4" sqref="I4"/>
    </sheetView>
  </sheetViews>
  <sheetFormatPr baseColWidth="10" defaultColWidth="11.44140625" defaultRowHeight="11.4"/>
  <cols>
    <col min="1" max="1" width="6.109375" style="1193" customWidth="1"/>
    <col min="2" max="3" width="11.44140625" style="1193"/>
    <col min="4" max="4" width="11.44140625" style="1193" customWidth="1"/>
    <col min="5" max="5" width="17.33203125" style="1193" customWidth="1"/>
    <col min="6" max="6" width="11.44140625" style="1193" customWidth="1"/>
    <col min="7" max="7" width="13.44140625" style="1193" customWidth="1"/>
    <col min="8" max="8" width="13.109375" style="1193" customWidth="1"/>
    <col min="9" max="9" width="11.44140625" style="1193"/>
    <col min="10" max="10" width="6.109375" style="1193" customWidth="1"/>
    <col min="11" max="13" width="11.44140625" style="1193"/>
    <col min="14" max="14" width="12.44140625" style="1193" customWidth="1"/>
    <col min="15" max="16384" width="11.44140625" style="1193"/>
  </cols>
  <sheetData>
    <row r="1" spans="1:16" ht="15" customHeight="1">
      <c r="A1" s="1191"/>
      <c r="B1" s="1192"/>
      <c r="C1" s="1192"/>
      <c r="D1" s="1192"/>
      <c r="E1" s="1192"/>
      <c r="F1" s="1192"/>
      <c r="G1" s="1192"/>
      <c r="H1" s="1192"/>
      <c r="I1" s="1192"/>
    </row>
    <row r="2" spans="1:16" ht="20.25" customHeight="1">
      <c r="A2" s="1194"/>
      <c r="B2" s="1554" t="s">
        <v>244</v>
      </c>
      <c r="C2" s="1555"/>
      <c r="D2" s="1555"/>
      <c r="E2" s="1555"/>
      <c r="F2" s="1555"/>
      <c r="G2" s="1555"/>
      <c r="H2" s="1556"/>
    </row>
    <row r="3" spans="1:16" ht="20.25" customHeight="1">
      <c r="A3" s="1194"/>
      <c r="B3" s="1557" t="s">
        <v>576</v>
      </c>
      <c r="C3" s="1558"/>
      <c r="D3" s="1558"/>
      <c r="E3" s="1558"/>
      <c r="F3" s="1558"/>
      <c r="G3" s="1558"/>
      <c r="H3" s="1559"/>
    </row>
    <row r="4" spans="1:16" ht="15" customHeight="1">
      <c r="A4" s="1194"/>
      <c r="B4" s="1026"/>
      <c r="C4" s="1026"/>
      <c r="D4" s="1026"/>
      <c r="E4" s="1026"/>
      <c r="F4" s="1026"/>
      <c r="G4" s="1026"/>
      <c r="H4" s="1026"/>
    </row>
    <row r="5" spans="1:16" ht="15" customHeight="1">
      <c r="A5" s="1194"/>
      <c r="B5" s="1195" t="s">
        <v>245</v>
      </c>
      <c r="C5" s="1196"/>
      <c r="D5" s="1196"/>
      <c r="E5" s="1196"/>
      <c r="F5" s="1196"/>
      <c r="G5" s="1196"/>
      <c r="H5" s="1212" t="s">
        <v>573</v>
      </c>
    </row>
    <row r="6" spans="1:16" ht="15" customHeight="1">
      <c r="A6" s="1194"/>
      <c r="B6" s="1197" t="s">
        <v>246</v>
      </c>
      <c r="C6" s="1026"/>
      <c r="D6" s="1026"/>
      <c r="E6" s="1026"/>
      <c r="F6" s="1026"/>
      <c r="G6" s="967">
        <f>+Balanza!C7</f>
        <v>-3.2899999999999998E-6</v>
      </c>
      <c r="H6" s="1235" t="s">
        <v>569</v>
      </c>
      <c r="I6" s="1193">
        <f>+FORMATO!I11</f>
        <v>0</v>
      </c>
    </row>
    <row r="7" spans="1:16" ht="15" customHeight="1">
      <c r="A7" s="1194"/>
      <c r="B7" s="1197" t="s">
        <v>247</v>
      </c>
      <c r="C7" s="1026"/>
      <c r="D7" s="1026"/>
      <c r="E7" s="1026"/>
      <c r="F7" s="1026"/>
      <c r="G7" s="1198" t="str">
        <f>+Balanza!C11</f>
        <v>EQP-0046</v>
      </c>
      <c r="H7" s="1199"/>
    </row>
    <row r="8" spans="1:16" ht="15" customHeight="1">
      <c r="A8" s="1194"/>
      <c r="B8" s="1200" t="s">
        <v>149</v>
      </c>
      <c r="C8" s="1201"/>
      <c r="D8" s="1201"/>
      <c r="E8" s="1201"/>
      <c r="F8" s="1201"/>
      <c r="G8" s="1202">
        <f>+Balanza!C12</f>
        <v>46132</v>
      </c>
      <c r="H8" s="1203"/>
    </row>
    <row r="9" spans="1:16" ht="19.5" customHeight="1">
      <c r="A9" s="1194"/>
    </row>
    <row r="10" spans="1:16" ht="19.5" customHeight="1">
      <c r="A10" s="1194"/>
      <c r="B10" s="921" t="s">
        <v>248</v>
      </c>
      <c r="C10" s="922"/>
      <c r="D10" s="922"/>
      <c r="E10" s="922"/>
      <c r="F10" s="923"/>
      <c r="G10" s="1023" t="s">
        <v>233</v>
      </c>
      <c r="H10" s="944" t="s">
        <v>249</v>
      </c>
      <c r="K10" s="1013" t="s">
        <v>570</v>
      </c>
      <c r="L10" s="1068"/>
      <c r="M10" s="1068"/>
      <c r="N10" s="1068"/>
    </row>
    <row r="11" spans="1:16" ht="19.5" customHeight="1">
      <c r="A11" s="1194"/>
      <c r="B11" s="921" t="s">
        <v>250</v>
      </c>
      <c r="C11" s="922"/>
      <c r="D11" s="922"/>
      <c r="E11" s="922"/>
      <c r="F11" s="923" t="s">
        <v>235</v>
      </c>
      <c r="G11" s="1188">
        <f>+FORMATO!J22</f>
        <v>0</v>
      </c>
      <c r="H11" s="894">
        <f>G11+($G$6*G11)</f>
        <v>0</v>
      </c>
      <c r="K11" s="935" t="s">
        <v>571</v>
      </c>
      <c r="L11" s="1068"/>
      <c r="M11" s="1068"/>
      <c r="N11" s="1189">
        <f>+FORMATO!L18</f>
        <v>0</v>
      </c>
    </row>
    <row r="12" spans="1:16" ht="19.5" customHeight="1">
      <c r="A12" s="1194"/>
      <c r="B12" s="921" t="s">
        <v>251</v>
      </c>
      <c r="C12" s="922"/>
      <c r="D12" s="922"/>
      <c r="E12" s="922"/>
      <c r="F12" s="923" t="s">
        <v>235</v>
      </c>
      <c r="G12" s="1188">
        <f>+FORMATO!J23</f>
        <v>0</v>
      </c>
      <c r="H12" s="894">
        <f>G12+($G$6*G12)</f>
        <v>0</v>
      </c>
      <c r="K12" s="935" t="s">
        <v>572</v>
      </c>
      <c r="L12" s="1068"/>
      <c r="M12" s="1068"/>
      <c r="N12" s="1189" t="s">
        <v>569</v>
      </c>
    </row>
    <row r="13" spans="1:16" ht="19.5" customHeight="1">
      <c r="A13" s="1194"/>
      <c r="B13" s="921" t="s">
        <v>252</v>
      </c>
      <c r="C13" s="922"/>
      <c r="D13" s="922"/>
      <c r="E13" s="922"/>
      <c r="F13" s="923" t="s">
        <v>235</v>
      </c>
      <c r="G13" s="1188">
        <f>+FORMATO!J24</f>
        <v>0</v>
      </c>
      <c r="H13" s="894">
        <f>G13+($G$6*G13)</f>
        <v>0</v>
      </c>
      <c r="K13" s="1234" t="s">
        <v>268</v>
      </c>
      <c r="N13" s="1233">
        <f>+G14</f>
        <v>0</v>
      </c>
    </row>
    <row r="14" spans="1:16" ht="19.5" customHeight="1">
      <c r="A14" s="1194"/>
      <c r="B14" s="940" t="s">
        <v>234</v>
      </c>
      <c r="C14" s="922"/>
      <c r="D14" s="922"/>
      <c r="E14" s="922"/>
      <c r="F14" s="923" t="s">
        <v>235</v>
      </c>
      <c r="G14" s="894">
        <f>+G13-G11</f>
        <v>0</v>
      </c>
      <c r="H14" s="894">
        <f>+H13-H11</f>
        <v>0</v>
      </c>
      <c r="K14" s="1207" t="s">
        <v>260</v>
      </c>
    </row>
    <row r="15" spans="1:16" ht="19.5" customHeight="1">
      <c r="A15" s="1194"/>
      <c r="B15" s="921" t="s">
        <v>254</v>
      </c>
      <c r="C15" s="922"/>
      <c r="D15" s="922"/>
      <c r="E15" s="922"/>
      <c r="F15" s="923" t="s">
        <v>235</v>
      </c>
      <c r="G15" s="1188">
        <f>+FORMATO!J26</f>
        <v>0</v>
      </c>
      <c r="H15" s="894">
        <f>G15+($G$6*G15)</f>
        <v>0</v>
      </c>
      <c r="K15" s="1562" t="s">
        <v>261</v>
      </c>
      <c r="L15" s="1562"/>
      <c r="M15" s="1562"/>
      <c r="N15" s="1560" t="s">
        <v>262</v>
      </c>
      <c r="O15" s="1552" t="s">
        <v>263</v>
      </c>
      <c r="P15" s="1552" t="s">
        <v>253</v>
      </c>
    </row>
    <row r="16" spans="1:16" ht="19.5" customHeight="1">
      <c r="A16" s="1194"/>
      <c r="B16" s="921" t="s">
        <v>255</v>
      </c>
      <c r="C16" s="922"/>
      <c r="D16" s="922"/>
      <c r="E16" s="922"/>
      <c r="F16" s="923" t="s">
        <v>235</v>
      </c>
      <c r="G16" s="1188">
        <f>+FORMATO!J27</f>
        <v>0</v>
      </c>
      <c r="H16" s="894">
        <f>G16+($G$6*G16)</f>
        <v>0</v>
      </c>
      <c r="K16" s="1562"/>
      <c r="L16" s="1562"/>
      <c r="M16" s="1562"/>
      <c r="N16" s="1561"/>
      <c r="O16" s="1552"/>
      <c r="P16" s="1552"/>
    </row>
    <row r="17" spans="1:16" ht="19.5" customHeight="1">
      <c r="A17" s="1194"/>
      <c r="B17" s="940" t="s">
        <v>236</v>
      </c>
      <c r="C17" s="922"/>
      <c r="D17" s="922"/>
      <c r="E17" s="922"/>
      <c r="F17" s="923" t="s">
        <v>235</v>
      </c>
      <c r="G17" s="894">
        <f>+G16-G11</f>
        <v>0</v>
      </c>
      <c r="H17" s="894">
        <f>+H16-H11</f>
        <v>0</v>
      </c>
      <c r="K17" s="1553" t="s">
        <v>264</v>
      </c>
      <c r="L17" s="1553"/>
      <c r="M17" s="1553"/>
      <c r="N17" s="916">
        <v>300</v>
      </c>
      <c r="O17" s="1186">
        <v>0.1</v>
      </c>
      <c r="P17" s="1186" t="s">
        <v>256</v>
      </c>
    </row>
    <row r="18" spans="1:16" ht="19.5" customHeight="1">
      <c r="A18" s="1194"/>
      <c r="B18" s="921" t="s">
        <v>257</v>
      </c>
      <c r="C18" s="922"/>
      <c r="D18" s="922"/>
      <c r="E18" s="922"/>
      <c r="F18" s="923" t="s">
        <v>187</v>
      </c>
      <c r="G18" s="894" t="e">
        <f>+((G14-G17)/G14)*100</f>
        <v>#DIV/0!</v>
      </c>
      <c r="H18" s="894" t="e">
        <f>+((H14-H17)/H14)*100</f>
        <v>#DIV/0!</v>
      </c>
      <c r="K18" s="1222" t="s">
        <v>265</v>
      </c>
      <c r="L18" s="1220"/>
      <c r="M18" s="1221"/>
      <c r="N18" s="916">
        <v>1000</v>
      </c>
      <c r="O18" s="1186">
        <v>0.1</v>
      </c>
      <c r="P18" s="1551" t="s">
        <v>258</v>
      </c>
    </row>
    <row r="19" spans="1:16" ht="12.75" customHeight="1">
      <c r="A19" s="1194"/>
      <c r="K19" s="1553" t="s">
        <v>266</v>
      </c>
      <c r="L19" s="1553"/>
      <c r="M19" s="1553"/>
      <c r="N19" s="916">
        <v>2500</v>
      </c>
      <c r="O19" s="1186">
        <v>0.1</v>
      </c>
      <c r="P19" s="1551"/>
    </row>
    <row r="20" spans="1:16" ht="19.5" customHeight="1">
      <c r="A20" s="1194"/>
      <c r="B20" s="921" t="s">
        <v>567</v>
      </c>
      <c r="C20" s="1204"/>
      <c r="D20" s="1204"/>
      <c r="E20" s="1204"/>
      <c r="F20" s="1204"/>
      <c r="G20" s="1205"/>
      <c r="H20" s="945" t="e">
        <f>(H12-H13)/H13*100</f>
        <v>#DIV/0!</v>
      </c>
      <c r="I20" s="1025" t="e">
        <f>IF(H20&lt;0.1,"cumple","no cumple")</f>
        <v>#DIV/0!</v>
      </c>
      <c r="K20" s="1553" t="s">
        <v>267</v>
      </c>
      <c r="L20" s="1553"/>
      <c r="M20" s="1553"/>
      <c r="N20" s="916">
        <v>5000</v>
      </c>
      <c r="O20" s="1186">
        <v>0.1</v>
      </c>
      <c r="P20" s="1551"/>
    </row>
    <row r="21" spans="1:16" ht="19.5" customHeight="1">
      <c r="A21" s="1194"/>
      <c r="B21" s="921" t="s">
        <v>568</v>
      </c>
      <c r="C21" s="1204"/>
      <c r="D21" s="1204"/>
      <c r="E21" s="1204"/>
      <c r="F21" s="1204"/>
      <c r="G21" s="1205"/>
      <c r="H21" s="945" t="e">
        <f>(H15-H16)/H16*100</f>
        <v>#DIV/0!</v>
      </c>
      <c r="I21" s="1025" t="e">
        <f>IF(H21&lt;0.1,"cumple","no cumple")</f>
        <v>#DIV/0!</v>
      </c>
      <c r="K21" s="920"/>
      <c r="L21" s="920"/>
      <c r="M21" s="920"/>
      <c r="O21" s="943"/>
      <c r="P21" s="924"/>
    </row>
    <row r="22" spans="1:16" ht="19.5" customHeight="1">
      <c r="A22" s="1194"/>
      <c r="B22" s="1206" t="s">
        <v>259</v>
      </c>
    </row>
    <row r="23" spans="1:16" ht="16.5" customHeight="1">
      <c r="A23" s="1194"/>
    </row>
    <row r="24" spans="1:16" ht="16.5" customHeight="1">
      <c r="A24" s="1194"/>
    </row>
    <row r="25" spans="1:16" ht="15.75" customHeight="1">
      <c r="A25" s="1194"/>
    </row>
    <row r="26" spans="1:16" ht="12" customHeight="1">
      <c r="A26" s="1194"/>
    </row>
    <row r="27" spans="1:16" ht="22.5" customHeight="1">
      <c r="A27" s="1194"/>
    </row>
    <row r="28" spans="1:16" ht="22.5" customHeight="1">
      <c r="A28" s="1194"/>
    </row>
    <row r="29" spans="1:16" ht="22.5" customHeight="1">
      <c r="A29" s="1194"/>
    </row>
    <row r="30" spans="1:16" ht="22.5" customHeight="1">
      <c r="A30" s="1194"/>
    </row>
    <row r="31" spans="1:16" ht="12">
      <c r="A31" s="942"/>
    </row>
    <row r="32" spans="1:16" ht="20.25" customHeight="1">
      <c r="A32" s="1194"/>
    </row>
    <row r="33" spans="1:9" ht="20.25" customHeight="1">
      <c r="A33" s="1194"/>
    </row>
    <row r="34" spans="1:9">
      <c r="A34" s="1194"/>
    </row>
    <row r="35" spans="1:9" ht="20.25" customHeight="1">
      <c r="A35" s="1194"/>
      <c r="F35" s="1208"/>
      <c r="G35" s="1208"/>
    </row>
    <row r="36" spans="1:9" ht="20.25" customHeight="1">
      <c r="A36" s="1194"/>
      <c r="F36" s="1208"/>
      <c r="G36" s="1187"/>
    </row>
    <row r="37" spans="1:9" ht="20.25" customHeight="1">
      <c r="A37" s="1194"/>
      <c r="F37" s="1208"/>
      <c r="G37" s="1187"/>
    </row>
    <row r="38" spans="1:9" ht="12" thickBot="1">
      <c r="A38" s="1209"/>
      <c r="B38" s="1210"/>
      <c r="C38" s="1210"/>
      <c r="D38" s="1210"/>
      <c r="E38" s="1210"/>
      <c r="F38" s="1210"/>
      <c r="G38" s="1210"/>
      <c r="H38" s="1210"/>
      <c r="I38" s="1210"/>
    </row>
    <row r="43" spans="1:9" ht="19.5" customHeight="1"/>
    <row r="44" spans="1:9" ht="19.5" customHeight="1"/>
    <row r="45" spans="1:9" ht="19.5" customHeight="1"/>
    <row r="46" spans="1:9" ht="19.5" customHeight="1"/>
    <row r="47" spans="1:9" ht="19.5" customHeight="1"/>
  </sheetData>
  <sheetProtection algorithmName="SHA-512" hashValue="bNKrHOoT6CZKL2SM2vomGwOQB1AAu4Eu6nraOZMtaFbc1O7F/nJntiN6dY9CUj+McDTOY3hgfyD2bNRRuBEqwA==" saltValue="wvz2KYlsXybvzmmv70eZCA==" spinCount="100000" sheet="1" objects="1" scenarios="1"/>
  <mergeCells count="10">
    <mergeCell ref="B2:H2"/>
    <mergeCell ref="B3:H3"/>
    <mergeCell ref="N15:N16"/>
    <mergeCell ref="K15:M16"/>
    <mergeCell ref="O15:O16"/>
    <mergeCell ref="P18:P20"/>
    <mergeCell ref="P15:P16"/>
    <mergeCell ref="K19:M19"/>
    <mergeCell ref="K20:M20"/>
    <mergeCell ref="K17:M17"/>
  </mergeCells>
  <dataValidations count="1">
    <dataValidation type="list" allowBlank="1" showInputMessage="1" showErrorMessage="1" sqref="H6" xr:uid="{00000000-0002-0000-0800-000000000000}">
      <formula1>"-, IVAN, DEIVY, BEATRIZ"</formula1>
    </dataValidation>
  </dataValidations>
  <printOptions horizontalCentered="1"/>
  <pageMargins left="0" right="0" top="0.98425196850393704" bottom="0" header="0.11811023622047245" footer="0"/>
  <pageSetup paperSize="274" scale="89" fitToWidth="0" fitToHeight="0" orientation="portrait" r:id="rId1"/>
  <headerFooter scaleWithDoc="0"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"/>
  <sheetViews>
    <sheetView topLeftCell="A43" workbookViewId="0">
      <selection activeCell="J52" sqref="J52"/>
    </sheetView>
  </sheetViews>
  <sheetFormatPr baseColWidth="10" defaultColWidth="11.44140625" defaultRowHeight="13.2"/>
  <cols>
    <col min="1" max="1" width="22.44140625" style="1065" customWidth="1"/>
    <col min="2" max="2" width="11.5546875" style="1065" bestFit="1" customWidth="1"/>
    <col min="3" max="3" width="12.5546875" style="1065" customWidth="1"/>
    <col min="4" max="4" width="11.5546875" style="1065" bestFit="1" customWidth="1"/>
    <col min="5" max="5" width="12.88671875" style="1065" customWidth="1"/>
    <col min="6" max="6" width="14" style="1065" customWidth="1"/>
    <col min="7" max="7" width="13.6640625" style="1065" customWidth="1"/>
    <col min="8" max="8" width="15.33203125" style="1065" customWidth="1"/>
    <col min="9" max="9" width="9.88671875" style="1065" customWidth="1"/>
    <col min="10" max="10" width="14.44140625" style="1065" customWidth="1"/>
    <col min="11" max="16384" width="11.44140625" style="1065"/>
  </cols>
  <sheetData>
    <row r="1" spans="1:10" ht="12.75" customHeight="1">
      <c r="A1" s="1579"/>
      <c r="B1" s="1570" t="s">
        <v>269</v>
      </c>
      <c r="C1" s="1571"/>
      <c r="D1" s="1571"/>
      <c r="E1" s="1571"/>
      <c r="F1" s="1571"/>
      <c r="G1" s="1571"/>
      <c r="H1" s="1572"/>
      <c r="I1" s="969" t="s">
        <v>270</v>
      </c>
      <c r="J1" s="969" t="s">
        <v>271</v>
      </c>
    </row>
    <row r="2" spans="1:10" ht="12.75" customHeight="1">
      <c r="A2" s="1580"/>
      <c r="B2" s="1573"/>
      <c r="C2" s="1574"/>
      <c r="D2" s="1574"/>
      <c r="E2" s="1574"/>
      <c r="F2" s="1574"/>
      <c r="G2" s="1574"/>
      <c r="H2" s="1575"/>
      <c r="I2" s="969" t="s">
        <v>272</v>
      </c>
      <c r="J2" s="970">
        <v>3</v>
      </c>
    </row>
    <row r="3" spans="1:10" ht="12.75" customHeight="1">
      <c r="A3" s="1580"/>
      <c r="B3" s="1573"/>
      <c r="C3" s="1574"/>
      <c r="D3" s="1574"/>
      <c r="E3" s="1574"/>
      <c r="F3" s="1574"/>
      <c r="G3" s="1574"/>
      <c r="H3" s="1575"/>
      <c r="I3" s="969" t="s">
        <v>273</v>
      </c>
      <c r="J3" s="1318">
        <v>46146</v>
      </c>
    </row>
    <row r="4" spans="1:10" ht="12.75" customHeight="1">
      <c r="A4" s="1581"/>
      <c r="B4" s="1576"/>
      <c r="C4" s="1577"/>
      <c r="D4" s="1577"/>
      <c r="E4" s="1577"/>
      <c r="F4" s="1577"/>
      <c r="G4" s="1577"/>
      <c r="H4" s="1578"/>
      <c r="I4" s="969" t="s">
        <v>274</v>
      </c>
      <c r="J4" s="969" t="s">
        <v>275</v>
      </c>
    </row>
    <row r="6" spans="1:10" ht="18" customHeight="1">
      <c r="A6" s="1016" t="s">
        <v>276</v>
      </c>
      <c r="B6" s="878" t="s">
        <v>244</v>
      </c>
      <c r="C6" s="877"/>
      <c r="D6" s="877"/>
      <c r="E6" s="877"/>
      <c r="F6" s="1066"/>
      <c r="G6" s="1066"/>
      <c r="H6" s="1066"/>
      <c r="I6" s="1066"/>
      <c r="J6" s="1067"/>
    </row>
    <row r="7" spans="1:10" ht="18" customHeight="1">
      <c r="A7" s="1016" t="s">
        <v>277</v>
      </c>
      <c r="B7" s="878" t="s">
        <v>576</v>
      </c>
      <c r="C7" s="877"/>
      <c r="D7" s="877"/>
      <c r="E7" s="877"/>
      <c r="F7" s="1066"/>
      <c r="G7" s="1066"/>
      <c r="H7" s="1066"/>
      <c r="I7" s="1066"/>
      <c r="J7" s="1067"/>
    </row>
    <row r="8" spans="1:10" ht="18" customHeight="1">
      <c r="A8" s="1016" t="s">
        <v>278</v>
      </c>
      <c r="B8" s="878" t="s">
        <v>253</v>
      </c>
      <c r="C8" s="877"/>
      <c r="D8" s="877"/>
      <c r="E8" s="877"/>
      <c r="F8" s="1066"/>
      <c r="G8" s="1066"/>
      <c r="H8" s="1066"/>
      <c r="I8" s="1066"/>
      <c r="J8" s="1067"/>
    </row>
    <row r="9" spans="1:10" ht="18" customHeight="1">
      <c r="A9" s="1017" t="s">
        <v>619</v>
      </c>
      <c r="B9" s="878" t="s">
        <v>279</v>
      </c>
      <c r="C9" s="877"/>
      <c r="D9" s="877"/>
      <c r="E9" s="877"/>
      <c r="F9" s="1066"/>
      <c r="G9" s="1066"/>
      <c r="H9" s="1066"/>
      <c r="I9" s="1066"/>
      <c r="J9" s="1067"/>
    </row>
    <row r="11" spans="1:10" ht="12" customHeight="1">
      <c r="A11" s="1182" t="s">
        <v>620</v>
      </c>
      <c r="B11" s="962"/>
      <c r="C11" s="962"/>
      <c r="D11" s="962"/>
      <c r="E11" s="962"/>
      <c r="F11" s="962"/>
      <c r="G11" s="962"/>
      <c r="H11" s="962"/>
      <c r="I11" s="962"/>
      <c r="J11" s="962"/>
    </row>
    <row r="12" spans="1:10" ht="12" customHeight="1">
      <c r="A12" s="1182"/>
      <c r="B12" s="962"/>
      <c r="C12" s="962"/>
      <c r="D12" s="962"/>
      <c r="E12" s="962"/>
      <c r="F12" s="962"/>
      <c r="G12" s="962"/>
      <c r="H12" s="962"/>
      <c r="I12" s="962"/>
      <c r="J12" s="962"/>
    </row>
    <row r="13" spans="1:10" ht="12" customHeight="1">
      <c r="A13" s="1183" t="s">
        <v>280</v>
      </c>
      <c r="B13" s="962"/>
      <c r="C13" s="962"/>
      <c r="E13" s="962"/>
      <c r="F13" s="962"/>
      <c r="G13" s="1183" t="s">
        <v>284</v>
      </c>
      <c r="H13" s="962"/>
      <c r="I13" s="962"/>
      <c r="J13" s="962"/>
    </row>
    <row r="14" spans="1:10" ht="12" customHeight="1">
      <c r="A14" s="962"/>
      <c r="B14" s="962"/>
      <c r="C14" s="962"/>
      <c r="E14" s="962"/>
      <c r="G14" s="962"/>
      <c r="H14" s="962"/>
      <c r="I14" s="962"/>
      <c r="J14" s="962"/>
    </row>
    <row r="15" spans="1:10" ht="12" customHeight="1">
      <c r="A15" s="1184" t="s">
        <v>281</v>
      </c>
      <c r="C15" s="962"/>
      <c r="E15" s="962"/>
      <c r="F15" s="962"/>
      <c r="G15" s="962"/>
      <c r="H15" s="962"/>
      <c r="I15" s="962"/>
      <c r="J15" s="962"/>
    </row>
    <row r="16" spans="1:10" ht="12" customHeight="1">
      <c r="A16" s="1184" t="s">
        <v>282</v>
      </c>
      <c r="C16" s="962"/>
      <c r="E16" s="962"/>
      <c r="F16" s="962"/>
      <c r="H16" s="962"/>
      <c r="I16" s="962"/>
      <c r="J16" s="962"/>
    </row>
    <row r="17" spans="1:10" ht="12" customHeight="1">
      <c r="A17" s="1184" t="s">
        <v>283</v>
      </c>
      <c r="C17" s="962"/>
      <c r="E17" s="962"/>
      <c r="H17" s="962"/>
      <c r="I17" s="962"/>
      <c r="J17" s="962"/>
    </row>
    <row r="18" spans="1:10" ht="12" customHeight="1">
      <c r="A18" s="962"/>
      <c r="C18" s="962"/>
      <c r="D18" s="962"/>
      <c r="E18" s="962"/>
      <c r="F18" s="962"/>
      <c r="G18" s="962"/>
      <c r="H18" s="962"/>
      <c r="I18" s="962"/>
      <c r="J18" s="962"/>
    </row>
    <row r="19" spans="1:10" ht="12" customHeight="1">
      <c r="A19" s="1183" t="s">
        <v>286</v>
      </c>
      <c r="B19" s="962"/>
      <c r="C19" s="962"/>
      <c r="D19" s="962"/>
      <c r="E19" s="1068"/>
      <c r="F19" s="962"/>
      <c r="H19" s="962"/>
      <c r="I19" s="962"/>
      <c r="J19" s="962"/>
    </row>
    <row r="20" spans="1:10" ht="12" customHeight="1">
      <c r="A20" s="962"/>
      <c r="B20" s="962"/>
      <c r="C20" s="962"/>
      <c r="D20" s="962"/>
      <c r="E20" s="962"/>
      <c r="F20" s="962"/>
      <c r="G20" s="962"/>
      <c r="H20" s="962"/>
      <c r="I20" s="962"/>
      <c r="J20" s="962"/>
    </row>
    <row r="21" spans="1:10" ht="12" customHeight="1">
      <c r="A21" s="1185" t="s">
        <v>287</v>
      </c>
      <c r="B21" s="962"/>
      <c r="C21" s="962"/>
      <c r="D21" s="962"/>
      <c r="E21" s="962"/>
      <c r="F21" s="962"/>
      <c r="H21" s="962"/>
      <c r="I21" s="962"/>
      <c r="J21" s="962"/>
    </row>
    <row r="22" spans="1:10" ht="12" customHeight="1">
      <c r="A22" s="962"/>
      <c r="B22" s="962"/>
      <c r="C22" s="962"/>
      <c r="D22" s="962"/>
      <c r="E22" s="962"/>
      <c r="F22" s="962"/>
      <c r="G22" s="962"/>
      <c r="H22" s="962"/>
      <c r="I22" s="962"/>
      <c r="J22" s="962"/>
    </row>
    <row r="23" spans="1:10" ht="18" customHeight="1">
      <c r="A23" s="1182" t="s">
        <v>288</v>
      </c>
      <c r="B23" s="962"/>
      <c r="C23" s="962"/>
      <c r="D23" s="962"/>
      <c r="E23" s="962"/>
      <c r="F23" s="962"/>
      <c r="G23" s="962"/>
      <c r="H23" s="962"/>
      <c r="I23" s="962"/>
      <c r="J23" s="962"/>
    </row>
    <row r="24" spans="1:10" ht="12" customHeight="1">
      <c r="A24" s="962"/>
      <c r="B24" s="962"/>
      <c r="C24" s="962"/>
      <c r="D24" s="962"/>
      <c r="E24" s="962"/>
      <c r="F24" s="962"/>
      <c r="G24" s="962"/>
      <c r="H24" s="962"/>
      <c r="I24" s="962"/>
      <c r="J24" s="962"/>
    </row>
    <row r="25" spans="1:10" ht="12" customHeight="1">
      <c r="A25" s="962"/>
      <c r="B25" s="962"/>
      <c r="C25" s="962"/>
      <c r="D25" s="962"/>
      <c r="E25" s="962"/>
      <c r="F25" s="962"/>
      <c r="G25" s="962"/>
      <c r="H25" s="962"/>
      <c r="I25" s="962"/>
      <c r="J25" s="962"/>
    </row>
    <row r="26" spans="1:10" ht="12" customHeight="1">
      <c r="A26" s="962"/>
      <c r="B26" s="962"/>
      <c r="C26" s="962"/>
      <c r="D26" s="962"/>
      <c r="E26" s="962"/>
      <c r="F26" s="962"/>
      <c r="G26" s="962"/>
      <c r="H26" s="962"/>
      <c r="I26" s="962"/>
      <c r="J26" s="962"/>
    </row>
    <row r="27" spans="1:10" ht="12" customHeight="1">
      <c r="A27" s="962"/>
      <c r="B27" s="962"/>
      <c r="C27" s="962"/>
      <c r="D27" s="962"/>
      <c r="E27" s="962"/>
      <c r="F27" s="962"/>
      <c r="G27" s="962"/>
      <c r="H27" s="962"/>
      <c r="I27" s="962"/>
      <c r="J27" s="962"/>
    </row>
    <row r="28" spans="1:10" ht="51" customHeight="1">
      <c r="A28" s="962"/>
      <c r="B28" s="962"/>
      <c r="C28" s="962"/>
      <c r="D28" s="962"/>
      <c r="E28" s="962"/>
      <c r="F28" s="962"/>
      <c r="G28" s="962"/>
      <c r="H28" s="962"/>
      <c r="I28" s="962"/>
      <c r="J28" s="962"/>
    </row>
    <row r="29" spans="1:10" ht="26.25" customHeight="1">
      <c r="A29" s="962"/>
      <c r="B29" s="962"/>
      <c r="C29" s="962"/>
      <c r="D29" s="962"/>
      <c r="E29" s="1068"/>
      <c r="H29" s="962"/>
      <c r="I29" s="962"/>
      <c r="J29" s="962"/>
    </row>
    <row r="30" spans="1:10" ht="16.5" customHeight="1">
      <c r="A30" s="962"/>
      <c r="B30" s="962"/>
      <c r="C30" s="962"/>
      <c r="D30" s="962"/>
      <c r="E30" s="962"/>
      <c r="F30" s="962"/>
      <c r="G30" s="962"/>
      <c r="H30" s="962"/>
      <c r="I30" s="962"/>
      <c r="J30" s="962"/>
    </row>
    <row r="31" spans="1:10" ht="16.5" customHeight="1">
      <c r="A31" s="962"/>
      <c r="B31" s="962"/>
      <c r="C31" s="962"/>
      <c r="D31" s="962"/>
      <c r="E31" s="962"/>
      <c r="F31" s="962"/>
      <c r="G31" s="962"/>
      <c r="H31" s="962"/>
      <c r="I31" s="962"/>
      <c r="J31" s="962"/>
    </row>
    <row r="32" spans="1:10" ht="18" customHeight="1" thickBot="1">
      <c r="A32" s="1567" t="s">
        <v>289</v>
      </c>
      <c r="B32" s="1568"/>
      <c r="C32" s="1568"/>
      <c r="D32" s="1568"/>
      <c r="E32" s="1568"/>
      <c r="F32" s="1568"/>
      <c r="G32" s="1568"/>
      <c r="H32" s="1569"/>
      <c r="I32" s="1060"/>
      <c r="J32" s="1060"/>
    </row>
    <row r="33" spans="1:10" ht="30.75" customHeight="1" thickBot="1">
      <c r="A33" s="1002" t="s">
        <v>290</v>
      </c>
      <c r="B33" s="1003" t="s">
        <v>291</v>
      </c>
      <c r="C33" s="1004" t="s">
        <v>292</v>
      </c>
      <c r="D33" s="1004" t="s">
        <v>293</v>
      </c>
      <c r="E33" s="1004" t="s">
        <v>294</v>
      </c>
      <c r="F33" s="1004" t="s">
        <v>295</v>
      </c>
      <c r="G33" s="1004" t="s">
        <v>296</v>
      </c>
      <c r="H33" s="1005" t="s">
        <v>297</v>
      </c>
      <c r="I33" s="1060"/>
      <c r="J33" s="1060"/>
    </row>
    <row r="34" spans="1:10" s="1069" customFormat="1" ht="24.75" customHeight="1">
      <c r="A34" s="998" t="s">
        <v>298</v>
      </c>
      <c r="B34" s="999" t="e">
        <f>+(B35-B39)/B35*100</f>
        <v>#DIV/0!</v>
      </c>
      <c r="C34" s="1000" t="s">
        <v>299</v>
      </c>
      <c r="D34" s="1000" t="s">
        <v>299</v>
      </c>
      <c r="E34" s="1000" t="s">
        <v>299</v>
      </c>
      <c r="F34" s="1000" t="s">
        <v>299</v>
      </c>
      <c r="G34" s="1000" t="s">
        <v>299</v>
      </c>
      <c r="H34" s="1001" t="s">
        <v>299</v>
      </c>
      <c r="I34" s="1060"/>
      <c r="J34" s="1060"/>
    </row>
    <row r="35" spans="1:10" s="1069" customFormat="1" ht="24.75" customHeight="1">
      <c r="A35" s="974" t="s">
        <v>300</v>
      </c>
      <c r="B35" s="975">
        <f>+Balanza!G27</f>
        <v>0</v>
      </c>
      <c r="C35" s="976" t="s">
        <v>299</v>
      </c>
      <c r="D35" s="977" t="s">
        <v>235</v>
      </c>
      <c r="E35" s="978" t="s">
        <v>299</v>
      </c>
      <c r="F35" s="979">
        <f>SQRT((F36*F36)+(F37*F37)+(F38*F38))</f>
        <v>7.0663521942607221E-2</v>
      </c>
      <c r="G35" s="978" t="e">
        <f>100*B39/B35/B35</f>
        <v>#DIV/0!</v>
      </c>
      <c r="H35" s="980" t="e">
        <f xml:space="preserve"> G35*F35</f>
        <v>#DIV/0!</v>
      </c>
      <c r="I35" s="1060" t="s">
        <v>88</v>
      </c>
    </row>
    <row r="36" spans="1:10" s="1069" customFormat="1" ht="24.75" customHeight="1">
      <c r="A36" s="981" t="s">
        <v>301</v>
      </c>
      <c r="B36" s="1070"/>
      <c r="C36" s="982">
        <f>Balanza!H27</f>
        <v>0</v>
      </c>
      <c r="D36" s="983" t="s">
        <v>235</v>
      </c>
      <c r="E36" s="984" t="s">
        <v>302</v>
      </c>
      <c r="F36" s="985">
        <f>C36</f>
        <v>0</v>
      </c>
      <c r="G36" s="986" t="s">
        <v>299</v>
      </c>
      <c r="H36" s="987" t="s">
        <v>299</v>
      </c>
      <c r="I36" s="1060"/>
    </row>
    <row r="37" spans="1:10" s="1069" customFormat="1" ht="24.75" customHeight="1">
      <c r="A37" s="981" t="s">
        <v>303</v>
      </c>
      <c r="B37" s="1070"/>
      <c r="C37" s="988">
        <f>2*(SQRT(Balanza!$C$8+Balanza!$D$8*(POWER(B35,2))))</f>
        <v>0.12899612397277679</v>
      </c>
      <c r="D37" s="983" t="s">
        <v>235</v>
      </c>
      <c r="E37" s="984" t="s">
        <v>304</v>
      </c>
      <c r="F37" s="985">
        <f>C37/2</f>
        <v>6.4498061986388397E-2</v>
      </c>
      <c r="G37" s="986" t="s">
        <v>299</v>
      </c>
      <c r="H37" s="987" t="s">
        <v>299</v>
      </c>
      <c r="I37" s="1060"/>
    </row>
    <row r="38" spans="1:10" s="1069" customFormat="1" ht="24.75" customHeight="1">
      <c r="A38" s="981" t="s">
        <v>305</v>
      </c>
      <c r="B38" s="1070"/>
      <c r="C38" s="989">
        <f>Balanza!$C$10</f>
        <v>0.1</v>
      </c>
      <c r="D38" s="983" t="s">
        <v>235</v>
      </c>
      <c r="E38" s="990" t="s">
        <v>306</v>
      </c>
      <c r="F38" s="985">
        <f>C38/SQRT(3)/2</f>
        <v>2.8867513459481291E-2</v>
      </c>
      <c r="G38" s="986" t="s">
        <v>299</v>
      </c>
      <c r="H38" s="987" t="s">
        <v>299</v>
      </c>
      <c r="I38" s="1060"/>
    </row>
    <row r="39" spans="1:10" s="1069" customFormat="1" ht="24.75" customHeight="1">
      <c r="A39" s="974" t="s">
        <v>307</v>
      </c>
      <c r="B39" s="975">
        <f>+Balanza!G28</f>
        <v>0</v>
      </c>
      <c r="C39" s="991"/>
      <c r="D39" s="992" t="s">
        <v>235</v>
      </c>
      <c r="E39" s="993" t="s">
        <v>299</v>
      </c>
      <c r="F39" s="979">
        <f>SQRT((F40*F40)+(F41*F41)+(F42*F42))</f>
        <v>7.0663521942607221E-2</v>
      </c>
      <c r="G39" s="994" t="e">
        <f>100/B35</f>
        <v>#DIV/0!</v>
      </c>
      <c r="H39" s="995" t="e">
        <f>+G39*F39</f>
        <v>#DIV/0!</v>
      </c>
      <c r="I39" s="1060" t="s">
        <v>90</v>
      </c>
      <c r="J39" s="1060"/>
    </row>
    <row r="40" spans="1:10" s="1069" customFormat="1" ht="24.75" customHeight="1">
      <c r="A40" s="981" t="s">
        <v>301</v>
      </c>
      <c r="B40" s="1070"/>
      <c r="C40" s="982">
        <f>Balanza!H28</f>
        <v>0</v>
      </c>
      <c r="D40" s="983" t="s">
        <v>235</v>
      </c>
      <c r="E40" s="984" t="s">
        <v>302</v>
      </c>
      <c r="F40" s="985">
        <f>C40</f>
        <v>0</v>
      </c>
      <c r="G40" s="986" t="s">
        <v>299</v>
      </c>
      <c r="H40" s="987" t="s">
        <v>299</v>
      </c>
      <c r="I40" s="1060"/>
      <c r="J40" s="1060"/>
    </row>
    <row r="41" spans="1:10" s="1069" customFormat="1" ht="24.75" customHeight="1">
      <c r="A41" s="981" t="s">
        <v>303</v>
      </c>
      <c r="B41" s="1070"/>
      <c r="C41" s="988">
        <f>2*(SQRT(Balanza!$C$8+Balanza!$D$8*(POWER(B39,2))))</f>
        <v>0.12899612397277679</v>
      </c>
      <c r="D41" s="983" t="s">
        <v>235</v>
      </c>
      <c r="E41" s="984" t="s">
        <v>304</v>
      </c>
      <c r="F41" s="985">
        <f>C41/2</f>
        <v>6.4498061986388397E-2</v>
      </c>
      <c r="G41" s="986" t="s">
        <v>299</v>
      </c>
      <c r="H41" s="987" t="s">
        <v>299</v>
      </c>
      <c r="I41" s="1060"/>
      <c r="J41" s="1060"/>
    </row>
    <row r="42" spans="1:10" s="1069" customFormat="1" ht="24.75" customHeight="1">
      <c r="A42" s="981" t="s">
        <v>305</v>
      </c>
      <c r="B42" s="1070"/>
      <c r="C42" s="989">
        <f>Balanza!$C$10</f>
        <v>0.1</v>
      </c>
      <c r="D42" s="983" t="s">
        <v>235</v>
      </c>
      <c r="E42" s="990" t="s">
        <v>306</v>
      </c>
      <c r="F42" s="985">
        <f>C42/SQRT(3)/2</f>
        <v>2.8867513459481291E-2</v>
      </c>
      <c r="G42" s="986" t="s">
        <v>299</v>
      </c>
      <c r="H42" s="987" t="s">
        <v>299</v>
      </c>
      <c r="I42" s="1060"/>
      <c r="J42" s="1060"/>
    </row>
    <row r="43" spans="1:10" s="1069" customFormat="1" ht="24.75" customHeight="1" thickBot="1">
      <c r="A43" s="1006" t="s">
        <v>308</v>
      </c>
      <c r="B43" s="1213">
        <f>+Precision!B21</f>
        <v>0.1370320319406293</v>
      </c>
      <c r="C43" s="1007"/>
      <c r="D43" s="1008"/>
      <c r="E43" s="1009" t="s">
        <v>309</v>
      </c>
      <c r="F43" s="1010">
        <f>B43/SQRT(1)</f>
        <v>0.1370320319406293</v>
      </c>
      <c r="G43" s="1181">
        <v>1</v>
      </c>
      <c r="H43" s="995">
        <f>+G43*F43</f>
        <v>0.1370320319406293</v>
      </c>
      <c r="I43" s="1060"/>
      <c r="J43" s="1060"/>
    </row>
    <row r="44" spans="1:10" s="1069" customFormat="1" ht="24.75" customHeight="1">
      <c r="A44" s="1011" t="s">
        <v>310</v>
      </c>
      <c r="B44" s="1012"/>
      <c r="C44" s="1012"/>
      <c r="D44" s="1050" t="s">
        <v>187</v>
      </c>
      <c r="E44" s="1012"/>
      <c r="F44" s="1563" t="e">
        <f>SQRT((H35*H35)+(H39*H39)+(H43*H43))</f>
        <v>#DIV/0!</v>
      </c>
      <c r="G44" s="1563"/>
      <c r="H44" s="1564"/>
      <c r="I44" s="1060"/>
      <c r="J44" s="1060"/>
    </row>
    <row r="45" spans="1:10" s="1069" customFormat="1" ht="24.75" customHeight="1" thickBot="1">
      <c r="A45" s="996" t="s">
        <v>311</v>
      </c>
      <c r="B45" s="997"/>
      <c r="C45" s="997"/>
      <c r="D45" s="1051" t="s">
        <v>187</v>
      </c>
      <c r="E45" s="997"/>
      <c r="F45" s="1565" t="e">
        <f>F44*2</f>
        <v>#DIV/0!</v>
      </c>
      <c r="G45" s="1565"/>
      <c r="H45" s="1566"/>
      <c r="I45" s="1060"/>
      <c r="J45" s="1060"/>
    </row>
    <row r="46" spans="1:10" ht="18" customHeight="1">
      <c r="A46" s="1060"/>
      <c r="D46" s="1060"/>
      <c r="E46" s="1060"/>
      <c r="F46" s="1060"/>
      <c r="G46" s="1060"/>
      <c r="H46" s="1060"/>
      <c r="I46" s="1060"/>
      <c r="J46" s="1060"/>
    </row>
    <row r="47" spans="1:10" ht="18" customHeight="1">
      <c r="A47" s="1060"/>
      <c r="D47" s="1060"/>
      <c r="E47" s="1060"/>
      <c r="F47" s="1060"/>
      <c r="G47" s="1060"/>
      <c r="H47" s="1060"/>
      <c r="I47" s="1060"/>
      <c r="J47" s="1060"/>
    </row>
    <row r="48" spans="1:10" ht="18" customHeight="1">
      <c r="A48" s="1061"/>
      <c r="B48" s="971" t="s">
        <v>312</v>
      </c>
      <c r="C48" s="947" t="s">
        <v>291</v>
      </c>
      <c r="D48" s="1062" t="s">
        <v>313</v>
      </c>
      <c r="E48" s="1060"/>
      <c r="F48" s="1060"/>
      <c r="G48" s="1060"/>
      <c r="H48" s="1060"/>
      <c r="I48" s="1060"/>
      <c r="J48" s="1060"/>
    </row>
    <row r="49" spans="1:10" ht="18" customHeight="1">
      <c r="A49" s="1063"/>
      <c r="B49" s="1071" t="str">
        <f>A35</f>
        <v>Masa seca</v>
      </c>
      <c r="C49" s="972" t="e">
        <f>H35</f>
        <v>#DIV/0!</v>
      </c>
      <c r="D49" s="1064" t="e">
        <f>+C49/$C$52*100</f>
        <v>#DIV/0!</v>
      </c>
      <c r="E49" s="1060"/>
      <c r="F49" s="1060"/>
      <c r="G49" s="1060"/>
      <c r="H49" s="1060"/>
      <c r="I49" s="1060"/>
      <c r="J49" s="1060"/>
    </row>
    <row r="50" spans="1:10" ht="18" customHeight="1">
      <c r="A50" s="1063"/>
      <c r="B50" s="1071" t="str">
        <f>A39</f>
        <v>Masa  lavado seca</v>
      </c>
      <c r="C50" s="972" t="e">
        <f>H39</f>
        <v>#DIV/0!</v>
      </c>
      <c r="D50" s="1064" t="e">
        <f>+C50/$C$52*100</f>
        <v>#DIV/0!</v>
      </c>
      <c r="E50" s="1060"/>
      <c r="F50" s="1060"/>
      <c r="G50" s="1060"/>
      <c r="H50" s="1060"/>
      <c r="I50" s="1060"/>
      <c r="J50" s="1060"/>
    </row>
    <row r="51" spans="1:10" ht="18" customHeight="1">
      <c r="A51" s="1072"/>
      <c r="B51" s="1073" t="str">
        <f>A43</f>
        <v>factor de presición</v>
      </c>
      <c r="C51" s="973">
        <f>H43</f>
        <v>0.1370320319406293</v>
      </c>
      <c r="D51" s="1064" t="e">
        <f>+C51/$C$52*100</f>
        <v>#DIV/0!</v>
      </c>
      <c r="E51" s="1060"/>
      <c r="F51" s="1060"/>
      <c r="G51" s="1060"/>
      <c r="H51" s="1060"/>
      <c r="I51" s="1060"/>
      <c r="J51" s="1060"/>
    </row>
    <row r="52" spans="1:10" ht="18" customHeight="1">
      <c r="A52" s="1074"/>
      <c r="B52" s="1075"/>
      <c r="C52" s="1076" t="e">
        <f>SUM(C49:C51)</f>
        <v>#DIV/0!</v>
      </c>
      <c r="D52" s="1064" t="e">
        <f>+C52/$C$52*100</f>
        <v>#DIV/0!</v>
      </c>
      <c r="E52" s="1060"/>
      <c r="F52" s="1060"/>
      <c r="G52" s="1060"/>
      <c r="H52" s="1060"/>
      <c r="I52" s="1060"/>
      <c r="J52" s="1060"/>
    </row>
    <row r="53" spans="1:10" ht="18" customHeight="1">
      <c r="E53" s="1060"/>
      <c r="F53" s="1060"/>
      <c r="G53" s="1060"/>
      <c r="H53" s="1060"/>
      <c r="I53" s="1060"/>
      <c r="J53" s="1060"/>
    </row>
    <row r="54" spans="1:10" ht="18" customHeight="1">
      <c r="E54" s="1060"/>
      <c r="F54" s="1060"/>
      <c r="G54" s="1060"/>
      <c r="H54" s="1060"/>
      <c r="I54" s="1060"/>
      <c r="J54" s="1060"/>
    </row>
    <row r="55" spans="1:10" ht="18" customHeight="1">
      <c r="E55" s="1060"/>
      <c r="F55" s="1060"/>
      <c r="G55" s="1060"/>
      <c r="H55" s="1060"/>
      <c r="I55" s="1060"/>
      <c r="J55" s="1060"/>
    </row>
    <row r="56" spans="1:10" ht="18" customHeight="1"/>
    <row r="57" spans="1:10" ht="17.25" customHeight="1"/>
    <row r="58" spans="1:10">
      <c r="A58" s="1319" t="s">
        <v>613</v>
      </c>
      <c r="B58" s="1582" t="s">
        <v>614</v>
      </c>
      <c r="C58" s="1583"/>
      <c r="D58" s="1320"/>
      <c r="E58" s="1584" t="s">
        <v>615</v>
      </c>
      <c r="F58" s="1584"/>
      <c r="G58" s="1585" t="s">
        <v>616</v>
      </c>
      <c r="H58" s="1586"/>
    </row>
    <row r="59" spans="1:10">
      <c r="A59" s="962"/>
      <c r="B59" s="962"/>
      <c r="C59" s="962"/>
      <c r="D59" s="962"/>
      <c r="E59" s="962"/>
      <c r="F59" s="962"/>
      <c r="G59" s="962"/>
      <c r="H59" s="962"/>
    </row>
    <row r="60" spans="1:10">
      <c r="A60" s="1321" t="s">
        <v>617</v>
      </c>
      <c r="B60" s="1587">
        <v>44944</v>
      </c>
      <c r="C60" s="1588"/>
      <c r="D60" s="962"/>
      <c r="E60" s="1589" t="s">
        <v>618</v>
      </c>
      <c r="F60" s="1589"/>
      <c r="G60" s="1587">
        <v>44944</v>
      </c>
      <c r="H60" s="1588"/>
    </row>
  </sheetData>
  <sheetProtection algorithmName="SHA-512" hashValue="iFyozlN7WIBWU8UxQDo5qWWfEuRhTZBZXxeyQM+QSBHrlYPh4c0bRy5Yy4RQSXVf5rovl7ghsYBCATOIcuMvqQ==" saltValue="tYOyWwGkNzSRgytAs2RXrA==" spinCount="100000" sheet="1" objects="1" scenarios="1" selectLockedCells="1" selectUnlockedCells="1"/>
  <mergeCells count="11">
    <mergeCell ref="B58:C58"/>
    <mergeCell ref="E58:F58"/>
    <mergeCell ref="G58:H58"/>
    <mergeCell ref="B60:C60"/>
    <mergeCell ref="E60:F60"/>
    <mergeCell ref="G60:H60"/>
    <mergeCell ref="F44:H44"/>
    <mergeCell ref="F45:H45"/>
    <mergeCell ref="A32:H32"/>
    <mergeCell ref="B1:H4"/>
    <mergeCell ref="A1:A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28"/>
  <sheetViews>
    <sheetView zoomScaleNormal="100" workbookViewId="0">
      <selection activeCell="H34" sqref="H34"/>
    </sheetView>
  </sheetViews>
  <sheetFormatPr baseColWidth="10" defaultColWidth="11.44140625" defaultRowHeight="13.2"/>
  <cols>
    <col min="1" max="1" width="2.33203125" style="946" customWidth="1"/>
    <col min="2" max="2" width="11.44140625" style="946"/>
    <col min="3" max="3" width="11.44140625" style="946" customWidth="1"/>
    <col min="4" max="4" width="12" style="946" customWidth="1"/>
    <col min="5" max="7" width="11.44140625" style="946"/>
    <col min="8" max="8" width="14.44140625" style="946" customWidth="1"/>
    <col min="9" max="9" width="11.44140625" style="946"/>
    <col min="10" max="10" width="11.88671875" style="946" customWidth="1"/>
    <col min="11" max="16384" width="11.44140625" style="946"/>
  </cols>
  <sheetData>
    <row r="1" spans="2:9" ht="12.75" customHeight="1"/>
    <row r="2" spans="2:9" ht="12.75" customHeight="1"/>
    <row r="3" spans="2:9" ht="12.75" customHeight="1"/>
    <row r="4" spans="2:9" ht="12.75" customHeight="1"/>
    <row r="5" spans="2:9" ht="12.75" customHeight="1">
      <c r="B5" s="965" t="s">
        <v>314</v>
      </c>
      <c r="C5" s="966"/>
      <c r="D5" s="966"/>
      <c r="E5" s="642"/>
      <c r="F5" s="642"/>
      <c r="G5" s="642"/>
      <c r="H5" s="642"/>
    </row>
    <row r="6" spans="2:9" ht="8.25" customHeight="1">
      <c r="B6" s="965"/>
      <c r="C6" s="966"/>
      <c r="D6" s="966"/>
      <c r="E6" s="642"/>
      <c r="F6" s="642"/>
      <c r="G6" s="642"/>
      <c r="H6" s="642"/>
    </row>
    <row r="7" spans="2:9" ht="12.75" customHeight="1">
      <c r="B7" s="958" t="s">
        <v>315</v>
      </c>
      <c r="C7" s="1218">
        <v>-3.2899999999999998E-6</v>
      </c>
      <c r="D7" s="642"/>
      <c r="E7" s="642"/>
      <c r="F7" s="642"/>
      <c r="G7" s="642"/>
      <c r="H7" s="642"/>
    </row>
    <row r="8" spans="2:9" ht="12.75" customHeight="1">
      <c r="B8" s="642" t="s">
        <v>316</v>
      </c>
      <c r="C8" s="958">
        <v>4.1599999999999996E-3</v>
      </c>
      <c r="D8" s="967">
        <v>2.4299999999999999E-10</v>
      </c>
      <c r="E8" s="642"/>
      <c r="F8" s="642"/>
      <c r="G8" s="642"/>
      <c r="H8" s="642"/>
    </row>
    <row r="9" spans="2:9" ht="12.75" customHeight="1">
      <c r="B9" s="642" t="s">
        <v>317</v>
      </c>
      <c r="C9" s="968" t="s">
        <v>621</v>
      </c>
      <c r="D9" s="958"/>
      <c r="E9" s="642"/>
      <c r="F9" s="642"/>
      <c r="G9" s="642"/>
      <c r="H9" s="642"/>
    </row>
    <row r="10" spans="2:9" ht="12.75" customHeight="1">
      <c r="B10" s="642" t="s">
        <v>318</v>
      </c>
      <c r="C10" s="968">
        <v>0.1</v>
      </c>
      <c r="D10" s="958"/>
      <c r="E10" s="642"/>
      <c r="F10" s="642"/>
      <c r="G10" s="642"/>
      <c r="H10" s="642"/>
    </row>
    <row r="11" spans="2:9" ht="12.75" customHeight="1">
      <c r="B11" s="642" t="s">
        <v>319</v>
      </c>
      <c r="C11" s="958" t="s">
        <v>320</v>
      </c>
      <c r="D11" s="642"/>
      <c r="E11" s="642"/>
      <c r="F11" s="642"/>
      <c r="G11" s="642"/>
      <c r="H11" s="642"/>
    </row>
    <row r="12" spans="2:9" ht="12.75" customHeight="1">
      <c r="B12" s="642" t="s">
        <v>577</v>
      </c>
      <c r="C12" s="1322">
        <v>46132</v>
      </c>
      <c r="D12" s="642"/>
      <c r="E12" s="642"/>
      <c r="F12" s="642"/>
      <c r="G12" s="642"/>
      <c r="H12" s="642"/>
    </row>
    <row r="13" spans="2:9" ht="12.75" customHeight="1">
      <c r="B13" s="642"/>
      <c r="C13" s="958"/>
      <c r="D13" s="642"/>
      <c r="E13" s="642"/>
      <c r="F13" s="642"/>
      <c r="G13" s="642"/>
      <c r="H13" s="642"/>
    </row>
    <row r="14" spans="2:9" ht="12.75" customHeight="1">
      <c r="B14" s="959" t="s">
        <v>321</v>
      </c>
      <c r="C14" s="960" t="s">
        <v>322</v>
      </c>
      <c r="D14" s="960">
        <v>20</v>
      </c>
      <c r="E14" s="960">
        <v>200</v>
      </c>
      <c r="F14" s="960">
        <v>500</v>
      </c>
      <c r="G14" s="960">
        <v>1000</v>
      </c>
      <c r="H14" s="960">
        <v>5000</v>
      </c>
      <c r="I14" s="960">
        <v>10000</v>
      </c>
    </row>
    <row r="15" spans="2:9" ht="12.75" customHeight="1">
      <c r="B15" s="1215"/>
      <c r="C15" s="1216"/>
      <c r="D15" s="1022"/>
      <c r="E15" s="1022"/>
      <c r="F15" s="1022"/>
      <c r="G15" s="1022"/>
      <c r="H15" s="1022"/>
      <c r="I15" s="1022"/>
    </row>
    <row r="16" spans="2:9" ht="12.75" customHeight="1">
      <c r="B16" s="1215"/>
      <c r="C16" s="1216"/>
      <c r="D16" s="1022"/>
      <c r="E16" s="1022"/>
      <c r="F16" s="1022"/>
      <c r="G16" s="1022"/>
      <c r="H16" s="1022"/>
      <c r="I16" s="1022"/>
    </row>
    <row r="17" spans="2:16" ht="12.75" customHeight="1">
      <c r="B17" s="642"/>
      <c r="C17" s="642"/>
      <c r="D17" s="642"/>
      <c r="E17" s="642"/>
      <c r="F17" s="642"/>
      <c r="G17" s="642"/>
      <c r="H17" s="642"/>
      <c r="I17" s="642"/>
    </row>
    <row r="18" spans="2:16" ht="12.75" customHeight="1">
      <c r="B18" s="960"/>
      <c r="C18" s="959" t="s">
        <v>323</v>
      </c>
      <c r="D18" s="961">
        <v>0</v>
      </c>
      <c r="E18" s="961">
        <v>0</v>
      </c>
      <c r="F18" s="961">
        <v>0</v>
      </c>
      <c r="G18" s="961">
        <v>0</v>
      </c>
      <c r="H18" s="961">
        <v>0</v>
      </c>
      <c r="I18" s="961">
        <v>0</v>
      </c>
    </row>
    <row r="19" spans="2:16" ht="12.75" customHeight="1"/>
    <row r="20" spans="2:16" ht="12.75" customHeight="1">
      <c r="D20" s="1590" t="s">
        <v>324</v>
      </c>
      <c r="E20" s="1591"/>
      <c r="F20" s="1591"/>
      <c r="G20" s="1591"/>
      <c r="H20" s="1592"/>
      <c r="L20" s="642"/>
      <c r="M20" s="642"/>
      <c r="N20" s="642"/>
      <c r="O20" s="642"/>
      <c r="P20" s="642"/>
    </row>
    <row r="21" spans="2:16" ht="4.5" customHeight="1">
      <c r="F21" s="642"/>
      <c r="H21" s="642"/>
      <c r="L21" s="642"/>
      <c r="M21" s="642"/>
      <c r="N21" s="642"/>
      <c r="O21" s="642"/>
      <c r="P21" s="642"/>
    </row>
    <row r="22" spans="2:16" ht="12.75" customHeight="1">
      <c r="D22" s="960">
        <f t="shared" ref="D22:I22" si="0">+D14</f>
        <v>20</v>
      </c>
      <c r="E22" s="960">
        <f t="shared" si="0"/>
        <v>200</v>
      </c>
      <c r="F22" s="960">
        <f t="shared" si="0"/>
        <v>500</v>
      </c>
      <c r="G22" s="960">
        <f t="shared" si="0"/>
        <v>1000</v>
      </c>
      <c r="H22" s="960">
        <f t="shared" si="0"/>
        <v>5000</v>
      </c>
      <c r="I22" s="960">
        <f t="shared" si="0"/>
        <v>10000</v>
      </c>
      <c r="M22" s="642"/>
      <c r="N22" s="642"/>
      <c r="O22" s="642"/>
      <c r="P22" s="642"/>
    </row>
    <row r="23" spans="2:16" ht="12.75" customHeight="1">
      <c r="D23" s="956">
        <f t="shared" ref="D23:I23" si="1">D18</f>
        <v>0</v>
      </c>
      <c r="E23" s="956">
        <f t="shared" si="1"/>
        <v>0</v>
      </c>
      <c r="F23" s="956">
        <f t="shared" si="1"/>
        <v>0</v>
      </c>
      <c r="G23" s="956">
        <f t="shared" si="1"/>
        <v>0</v>
      </c>
      <c r="H23" s="956">
        <f t="shared" si="1"/>
        <v>0</v>
      </c>
      <c r="I23" s="956">
        <f t="shared" si="1"/>
        <v>0</v>
      </c>
      <c r="L23" s="1027"/>
      <c r="M23" s="642"/>
      <c r="N23" s="642"/>
      <c r="O23" s="642"/>
      <c r="P23" s="642"/>
    </row>
    <row r="24" spans="2:16" ht="12.75" customHeight="1">
      <c r="F24" s="642"/>
      <c r="G24" s="962"/>
      <c r="H24" s="962"/>
      <c r="I24" s="962"/>
      <c r="M24" s="642"/>
      <c r="N24" s="642"/>
      <c r="O24" s="642"/>
      <c r="P24" s="642"/>
    </row>
    <row r="25" spans="2:16" ht="12.75" customHeight="1">
      <c r="D25" s="1593" t="s">
        <v>325</v>
      </c>
      <c r="E25" s="1593"/>
      <c r="F25" s="1593"/>
      <c r="G25" s="1593"/>
      <c r="M25" s="642"/>
      <c r="N25" s="642"/>
      <c r="O25" s="642"/>
      <c r="P25" s="642"/>
    </row>
    <row r="26" spans="2:16" ht="2.25" customHeight="1">
      <c r="F26" s="642"/>
      <c r="G26" s="898"/>
      <c r="M26" s="642"/>
      <c r="N26" s="642"/>
      <c r="O26" s="642"/>
      <c r="P26" s="642"/>
    </row>
    <row r="27" spans="2:16" ht="15.75" customHeight="1">
      <c r="C27" s="963"/>
      <c r="D27" s="876"/>
      <c r="E27" s="876"/>
      <c r="F27" s="964" t="s">
        <v>326</v>
      </c>
      <c r="G27" s="957">
        <f>ABS('DATOS ENS'!H14)</f>
        <v>0</v>
      </c>
      <c r="H27" s="961">
        <f>IF(AND(G27&lt;=$I$22,G27&gt;$H$22),$I$23,IF(AND(G27&lt;=$H$22,G27&gt;$G$22),$H$23,IF(AND(G27&lt;=$G$22,G27&gt;$F$22),$G$23,IF(AND(G27&lt;=$F$22,G27&gt;$E$22),$F$23,IF(AND(G27&lt;=$E$22,G27&gt;$D$22),$E$23,IF(G27&lt;=$D$22,$D$23))))))</f>
        <v>0</v>
      </c>
    </row>
    <row r="28" spans="2:16" ht="15.75" customHeight="1">
      <c r="C28" s="963"/>
      <c r="D28" s="876"/>
      <c r="E28" s="876"/>
      <c r="F28" s="964" t="s">
        <v>327</v>
      </c>
      <c r="G28" s="957">
        <f>+'DATOS ENS'!H17</f>
        <v>0</v>
      </c>
      <c r="H28" s="961">
        <f>IF(AND(G28&lt;=$I$22,G28&gt;$H$22),$I$23,IF(AND(G28&lt;=$H$22,G28&gt;$G$22),$H$23,IF(AND(G28&lt;=$G$22,G28&gt;$F$22),$G$23,IF(AND(G28&lt;=$F$22,G28&gt;$E$22),$F$23,IF(AND(G28&lt;=$E$22,G28&gt;$D$22),$E$23,IF(G28&lt;=$D$22,$D$23))))))</f>
        <v>0</v>
      </c>
    </row>
  </sheetData>
  <sheetProtection algorithmName="SHA-512" hashValue="3NPm9e0nOoKTZnyZdVcz4Ta3LCoQFn/9nasAa0LjswQhClZfkafP9AKAay28NRPs2zTAqF9g4wPYVYfuGrYImA==" saltValue="AoPV3kE3FPJKi/ocsr0m/A==" spinCount="100000" sheet="1" objects="1" scenarios="1"/>
  <mergeCells count="2">
    <mergeCell ref="D20:H20"/>
    <mergeCell ref="D25:G2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22"/>
  <sheetViews>
    <sheetView zoomScaleNormal="100" workbookViewId="0">
      <selection activeCell="G30" sqref="G30"/>
    </sheetView>
  </sheetViews>
  <sheetFormatPr baseColWidth="10" defaultColWidth="11.44140625" defaultRowHeight="13.2"/>
  <cols>
    <col min="1" max="1" width="36.33203125" style="946" customWidth="1"/>
    <col min="2" max="16384" width="11.44140625" style="946"/>
  </cols>
  <sheetData>
    <row r="2" spans="1:5" ht="17.25" customHeight="1">
      <c r="A2" s="951"/>
    </row>
    <row r="3" spans="1:5" ht="8.25" customHeight="1"/>
    <row r="4" spans="1:5" ht="17.25" customHeight="1">
      <c r="A4" s="948" t="s">
        <v>622</v>
      </c>
    </row>
    <row r="5" spans="1:5" ht="6.75" customHeight="1">
      <c r="A5" s="952"/>
    </row>
    <row r="6" spans="1:5" ht="17.25" customHeight="1">
      <c r="A6" s="952" t="s">
        <v>328</v>
      </c>
      <c r="B6" s="1219">
        <v>46112</v>
      </c>
    </row>
    <row r="7" spans="1:5" ht="13.5" customHeight="1">
      <c r="A7" s="952"/>
      <c r="B7" s="953"/>
    </row>
    <row r="8" spans="1:5" ht="17.25" customHeight="1">
      <c r="A8" s="951" t="s">
        <v>329</v>
      </c>
      <c r="D8" s="951"/>
    </row>
    <row r="9" spans="1:5" ht="17.25" customHeight="1">
      <c r="A9" s="950"/>
      <c r="B9" s="950"/>
      <c r="C9" s="950"/>
      <c r="D9" s="950"/>
      <c r="E9" s="949"/>
    </row>
    <row r="10" spans="1:5" ht="17.25" hidden="1" customHeight="1">
      <c r="A10" s="955" t="s">
        <v>330</v>
      </c>
      <c r="B10" s="1595" t="e">
        <f>+#REF!*#REF!+#REF!*#REF!</f>
        <v>#REF!</v>
      </c>
      <c r="C10" s="1595"/>
      <c r="D10" s="1595"/>
      <c r="E10" s="949"/>
    </row>
    <row r="11" spans="1:5" ht="17.25" hidden="1" customHeight="1">
      <c r="A11" s="955" t="s">
        <v>331</v>
      </c>
      <c r="B11" s="1596" t="e">
        <f>+#REF!*POWER(#REF!,2)+#REF!*POWER(#REF!,2)</f>
        <v>#REF!</v>
      </c>
      <c r="C11" s="1596"/>
      <c r="D11" s="1596"/>
      <c r="E11" s="949"/>
    </row>
    <row r="12" spans="1:5" ht="17.25" hidden="1" customHeight="1">
      <c r="A12" s="955" t="s">
        <v>332</v>
      </c>
      <c r="B12" s="1596" t="e">
        <f>+SUM(#REF!)</f>
        <v>#REF!</v>
      </c>
      <c r="C12" s="1596"/>
      <c r="D12" s="1596"/>
      <c r="E12" s="949"/>
    </row>
    <row r="13" spans="1:5" ht="17.25" hidden="1" customHeight="1">
      <c r="A13" s="955" t="s">
        <v>333</v>
      </c>
      <c r="B13" s="1596" t="e">
        <f>+POWER(#REF!,2)+POWER(#REF!,2)</f>
        <v>#REF!</v>
      </c>
      <c r="C13" s="1596"/>
      <c r="D13" s="1596"/>
      <c r="E13" s="949"/>
    </row>
    <row r="14" spans="1:5" ht="17.25" hidden="1" customHeight="1">
      <c r="A14" s="955" t="s">
        <v>334</v>
      </c>
      <c r="B14" s="1598" t="e">
        <f>(#REF!-1)*SUM(#REF!)</f>
        <v>#REF!</v>
      </c>
      <c r="C14" s="1598"/>
      <c r="D14" s="1598"/>
      <c r="E14" s="949"/>
    </row>
    <row r="15" spans="1:5" ht="17.25" hidden="1" customHeight="1">
      <c r="A15" s="954" t="s">
        <v>335</v>
      </c>
      <c r="B15" s="1599" t="e">
        <f>ABS((B14/(B12-#REF!)))</f>
        <v>#REF!</v>
      </c>
      <c r="C15" s="1599"/>
      <c r="D15" s="1599"/>
      <c r="E15" s="949"/>
    </row>
    <row r="16" spans="1:5" ht="17.25" hidden="1" customHeight="1">
      <c r="A16" s="954" t="s">
        <v>336</v>
      </c>
      <c r="B16" s="1600" t="e">
        <f>ABS((((B11*B12-(B10^2))/(B12*(#REF!-1)))-(B15))*((B12*(#REF!-1))/((B12^2)-B13)))</f>
        <v>#REF!</v>
      </c>
      <c r="C16" s="1600"/>
      <c r="D16" s="1600"/>
      <c r="E16" s="949"/>
    </row>
    <row r="17" spans="1:5" ht="17.25" hidden="1" customHeight="1">
      <c r="A17" s="954" t="s">
        <v>337</v>
      </c>
      <c r="B17" s="1597" t="e">
        <f>(B15+B16)/1000000</f>
        <v>#REF!</v>
      </c>
      <c r="C17" s="1597"/>
      <c r="D17" s="1597"/>
      <c r="E17" s="949"/>
    </row>
    <row r="18" spans="1:5" ht="17.25" hidden="1" customHeight="1">
      <c r="A18" s="954" t="s">
        <v>338</v>
      </c>
      <c r="B18" s="1597" t="e">
        <f>SQRT(B15)</f>
        <v>#REF!</v>
      </c>
      <c r="C18" s="1597"/>
      <c r="D18" s="1597"/>
      <c r="E18" s="949"/>
    </row>
    <row r="19" spans="1:5" ht="17.25" hidden="1" customHeight="1">
      <c r="A19" s="954" t="s">
        <v>339</v>
      </c>
      <c r="B19" s="1597" t="e">
        <f>+SQRT(B15+B16)</f>
        <v>#REF!</v>
      </c>
      <c r="C19" s="1597"/>
      <c r="D19" s="1597"/>
      <c r="E19" s="949"/>
    </row>
    <row r="20" spans="1:5" hidden="1"/>
    <row r="21" spans="1:5" ht="15.6">
      <c r="A21" s="954" t="s">
        <v>338</v>
      </c>
      <c r="B21" s="1594">
        <v>0.1370320319406293</v>
      </c>
      <c r="C21" s="1594"/>
      <c r="D21" s="1594"/>
    </row>
    <row r="22" spans="1:5" ht="15.6">
      <c r="A22" s="954" t="s">
        <v>339</v>
      </c>
      <c r="B22" s="1594">
        <v>0.14388781638390308</v>
      </c>
      <c r="C22" s="1594"/>
      <c r="D22" s="1594"/>
    </row>
  </sheetData>
  <sheetProtection algorithmName="SHA-512" hashValue="LBethJmGkAhwQtCjaBTAGQw6W+8Bqev+6EeYCadgjy30oI/8O4Uzxdhnk16BGvqfxZHdCj5/phLW4P8PQg3drA==" saltValue="zgucoBX3oo8hBSp7wxyz8A==" spinCount="100000" sheet="1" objects="1" scenarios="1"/>
  <mergeCells count="12">
    <mergeCell ref="B21:D21"/>
    <mergeCell ref="B22:D22"/>
    <mergeCell ref="B10:D10"/>
    <mergeCell ref="B11:D11"/>
    <mergeCell ref="B18:D18"/>
    <mergeCell ref="B19:D19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0"/>
  <sheetViews>
    <sheetView workbookViewId="0">
      <selection activeCell="H4" sqref="H4"/>
    </sheetView>
  </sheetViews>
  <sheetFormatPr baseColWidth="10" defaultColWidth="11.44140625" defaultRowHeight="13.2"/>
  <cols>
    <col min="1" max="1" width="3.109375" customWidth="1"/>
    <col min="2" max="2" width="12.6640625" customWidth="1"/>
    <col min="9" max="9" width="13.33203125" customWidth="1"/>
    <col min="10" max="10" width="3.109375" customWidth="1"/>
  </cols>
  <sheetData>
    <row r="1" spans="1:11" ht="6" customHeight="1">
      <c r="A1" s="372"/>
      <c r="B1" s="373"/>
      <c r="C1" s="374"/>
      <c r="D1" s="374"/>
      <c r="E1" s="374"/>
      <c r="F1" s="374"/>
      <c r="G1" s="374"/>
      <c r="H1" s="374"/>
      <c r="I1" s="375"/>
      <c r="J1" s="376"/>
    </row>
    <row r="2" spans="1:11" ht="13.8">
      <c r="A2" s="377"/>
      <c r="B2" s="378"/>
      <c r="C2" s="294"/>
      <c r="D2" s="294"/>
      <c r="E2" s="294"/>
      <c r="F2" s="294"/>
      <c r="G2" s="294"/>
      <c r="H2" s="294"/>
      <c r="I2" s="379"/>
      <c r="J2" s="380"/>
      <c r="K2" s="295"/>
    </row>
    <row r="3" spans="1:11">
      <c r="A3" s="377"/>
      <c r="B3" s="381"/>
      <c r="C3" s="299"/>
      <c r="D3" s="299"/>
      <c r="E3" s="299"/>
      <c r="F3" s="299"/>
      <c r="G3" s="299"/>
      <c r="H3" s="299"/>
      <c r="I3" s="382"/>
      <c r="J3" s="383"/>
      <c r="K3" s="1037"/>
    </row>
    <row r="4" spans="1:11">
      <c r="A4" s="377"/>
      <c r="B4" s="384"/>
      <c r="C4" s="136"/>
      <c r="D4" s="136"/>
      <c r="E4" s="136"/>
      <c r="F4" s="385"/>
      <c r="G4" s="385"/>
      <c r="H4" s="386"/>
      <c r="I4" s="387"/>
      <c r="J4" s="388"/>
      <c r="K4" s="304"/>
    </row>
    <row r="5" spans="1:11">
      <c r="A5" s="377"/>
      <c r="B5" s="389"/>
      <c r="C5" s="307"/>
      <c r="D5" s="136"/>
      <c r="E5" s="136"/>
      <c r="F5" s="308"/>
      <c r="G5" s="305"/>
      <c r="H5" s="305"/>
      <c r="I5" s="390"/>
      <c r="J5" s="391"/>
      <c r="K5" s="309"/>
    </row>
    <row r="6" spans="1:11">
      <c r="A6" s="377"/>
      <c r="B6" s="392"/>
      <c r="C6" s="393"/>
      <c r="D6" s="393"/>
      <c r="E6" s="393"/>
      <c r="F6" s="393"/>
      <c r="G6" s="394"/>
      <c r="H6" s="394"/>
      <c r="I6" s="171"/>
      <c r="J6" s="395"/>
    </row>
    <row r="7" spans="1:11" ht="13.8" thickBot="1">
      <c r="A7" s="377"/>
      <c r="B7" s="396"/>
      <c r="C7" s="397"/>
      <c r="D7" s="397"/>
      <c r="E7" s="397"/>
      <c r="F7" s="397"/>
      <c r="G7" s="398"/>
      <c r="H7" s="398"/>
      <c r="I7" s="399"/>
      <c r="J7" s="395"/>
    </row>
    <row r="8" spans="1:11" ht="3.75" customHeight="1" thickTop="1" thickBot="1">
      <c r="A8" s="377"/>
      <c r="B8" s="303"/>
      <c r="C8" s="393"/>
      <c r="D8" s="393"/>
      <c r="E8" s="393"/>
      <c r="F8" s="393"/>
      <c r="G8" s="394"/>
      <c r="H8" s="394"/>
      <c r="I8" s="136"/>
      <c r="J8" s="395"/>
    </row>
    <row r="9" spans="1:11" ht="21.6" thickTop="1">
      <c r="A9" s="377"/>
      <c r="B9" s="1604" t="s">
        <v>340</v>
      </c>
      <c r="C9" s="1605"/>
      <c r="D9" s="1605"/>
      <c r="E9" s="1605"/>
      <c r="F9" s="1605"/>
      <c r="G9" s="1605"/>
      <c r="H9" s="1605"/>
      <c r="I9" s="1606"/>
      <c r="J9" s="400"/>
    </row>
    <row r="10" spans="1:11">
      <c r="A10" s="377"/>
      <c r="B10" s="1615" t="s">
        <v>341</v>
      </c>
      <c r="C10" s="1616"/>
      <c r="D10" s="1616"/>
      <c r="E10" s="1616"/>
      <c r="F10" s="1616"/>
      <c r="G10" s="1616"/>
      <c r="H10" s="1616"/>
      <c r="I10" s="1617"/>
      <c r="J10" s="1130"/>
    </row>
    <row r="11" spans="1:11" ht="3.75" customHeight="1">
      <c r="A11" s="377"/>
      <c r="B11" s="1131"/>
      <c r="C11" s="1132"/>
      <c r="D11" s="1132"/>
      <c r="E11" s="1132"/>
      <c r="F11" s="1132"/>
      <c r="G11" s="1132"/>
      <c r="H11" s="1132"/>
      <c r="I11" s="1133"/>
      <c r="J11" s="1130"/>
    </row>
    <row r="12" spans="1:11" ht="15" customHeight="1">
      <c r="A12" s="377"/>
      <c r="B12" s="146" t="s">
        <v>342</v>
      </c>
      <c r="C12" s="401" t="str">
        <f>+Gran!C13</f>
        <v>Grava para concreto</v>
      </c>
      <c r="D12" s="402"/>
      <c r="E12" s="403"/>
      <c r="F12" s="403"/>
      <c r="G12" s="404"/>
      <c r="H12" s="405" t="s">
        <v>343</v>
      </c>
      <c r="I12" s="406">
        <f>+Gran!H14</f>
        <v>0</v>
      </c>
      <c r="J12" s="1134"/>
    </row>
    <row r="13" spans="1:11" ht="15" customHeight="1">
      <c r="A13" s="377"/>
      <c r="B13" s="146" t="s">
        <v>344</v>
      </c>
      <c r="C13" s="401" t="s">
        <v>345</v>
      </c>
      <c r="D13" s="407"/>
      <c r="E13" s="403"/>
      <c r="F13" s="403"/>
      <c r="G13" s="404"/>
      <c r="H13" s="405" t="s">
        <v>346</v>
      </c>
      <c r="I13" s="406" t="e">
        <f>+Gran!#REF!</f>
        <v>#REF!</v>
      </c>
      <c r="J13" s="1135"/>
    </row>
    <row r="14" spans="1:11" ht="15" customHeight="1">
      <c r="A14" s="377"/>
      <c r="B14" s="146"/>
      <c r="C14" s="408"/>
      <c r="D14" s="402"/>
      <c r="E14" s="403"/>
      <c r="F14" s="403"/>
      <c r="G14" s="404"/>
      <c r="H14" s="404"/>
      <c r="I14" s="409"/>
      <c r="J14" s="1136"/>
    </row>
    <row r="15" spans="1:11" ht="15" customHeight="1">
      <c r="A15" s="377"/>
      <c r="B15" s="410" t="s">
        <v>149</v>
      </c>
      <c r="C15" s="1614" t="e">
        <f>+Gran!#REF!</f>
        <v>#REF!</v>
      </c>
      <c r="D15" s="1614"/>
      <c r="E15" s="411"/>
      <c r="F15" s="403"/>
      <c r="G15" s="403"/>
      <c r="H15" s="403"/>
      <c r="I15" s="412"/>
      <c r="J15" s="395"/>
    </row>
    <row r="16" spans="1:11" ht="15" customHeight="1">
      <c r="A16" s="377"/>
      <c r="B16" s="410"/>
      <c r="C16" s="413"/>
      <c r="D16" s="413"/>
      <c r="E16" s="411"/>
      <c r="F16" s="403"/>
      <c r="G16" s="403"/>
      <c r="H16" s="403"/>
      <c r="I16" s="412"/>
      <c r="J16" s="395"/>
    </row>
    <row r="17" spans="1:10" ht="15.75" customHeight="1">
      <c r="A17" s="377"/>
      <c r="B17" s="414"/>
      <c r="C17" s="411"/>
      <c r="D17" s="411"/>
      <c r="E17" s="411"/>
      <c r="F17" s="403"/>
      <c r="G17" s="403"/>
      <c r="H17" s="403"/>
      <c r="I17" s="412"/>
      <c r="J17" s="395"/>
    </row>
    <row r="18" spans="1:10" ht="13.8" thickBot="1">
      <c r="A18" s="415"/>
      <c r="B18" s="416"/>
      <c r="C18" s="312"/>
      <c r="D18" s="417"/>
      <c r="E18" s="312"/>
      <c r="F18" s="312"/>
      <c r="G18" s="312"/>
      <c r="H18" s="312"/>
      <c r="I18" s="399"/>
      <c r="J18" s="418"/>
    </row>
    <row r="19" spans="1:10" ht="3.75" customHeight="1" thickTop="1" thickBot="1">
      <c r="A19" s="415"/>
      <c r="B19" s="137"/>
      <c r="C19" s="136"/>
      <c r="D19" s="137"/>
      <c r="E19" s="136"/>
      <c r="F19" s="136"/>
      <c r="G19" s="136"/>
      <c r="H19" s="136"/>
      <c r="I19" s="136"/>
      <c r="J19" s="418"/>
    </row>
    <row r="20" spans="1:10" ht="20.25" customHeight="1" thickTop="1">
      <c r="A20" s="415"/>
      <c r="B20" s="1618" t="s">
        <v>168</v>
      </c>
      <c r="C20" s="1619"/>
      <c r="D20" s="1601" t="s">
        <v>191</v>
      </c>
      <c r="E20" s="1601"/>
      <c r="F20" s="1602" t="s">
        <v>347</v>
      </c>
      <c r="G20" s="1602"/>
      <c r="H20" s="419" t="s">
        <v>348</v>
      </c>
      <c r="I20" s="420"/>
      <c r="J20" s="421"/>
    </row>
    <row r="21" spans="1:10">
      <c r="A21" s="415"/>
      <c r="B21" s="1607" t="s">
        <v>349</v>
      </c>
      <c r="C21" s="1609" t="s">
        <v>350</v>
      </c>
      <c r="D21" s="239"/>
      <c r="E21" s="239"/>
      <c r="F21" s="1137"/>
      <c r="G21" s="422"/>
      <c r="H21" s="239"/>
      <c r="I21" s="422"/>
      <c r="J21" s="421"/>
    </row>
    <row r="22" spans="1:10">
      <c r="A22" s="415"/>
      <c r="B22" s="1608"/>
      <c r="C22" s="1610"/>
      <c r="D22" s="239" t="s">
        <v>204</v>
      </c>
      <c r="E22" s="239" t="s">
        <v>184</v>
      </c>
      <c r="F22" s="1052" t="s">
        <v>204</v>
      </c>
      <c r="G22" s="422" t="s">
        <v>184</v>
      </c>
      <c r="H22" s="239" t="s">
        <v>204</v>
      </c>
      <c r="I22" s="422" t="s">
        <v>184</v>
      </c>
      <c r="J22" s="421"/>
    </row>
    <row r="23" spans="1:10" ht="13.8" thickBot="1">
      <c r="A23" s="415"/>
      <c r="B23" s="423"/>
      <c r="C23" s="424"/>
      <c r="D23" s="425" t="s">
        <v>351</v>
      </c>
      <c r="E23" s="425" t="s">
        <v>352</v>
      </c>
      <c r="F23" s="423" t="s">
        <v>351</v>
      </c>
      <c r="G23" s="426" t="s">
        <v>352</v>
      </c>
      <c r="H23" s="425" t="s">
        <v>351</v>
      </c>
      <c r="I23" s="426" t="s">
        <v>352</v>
      </c>
      <c r="J23" s="421"/>
    </row>
    <row r="24" spans="1:10" ht="15" customHeight="1">
      <c r="A24" s="415"/>
      <c r="B24" s="1052" t="s">
        <v>49</v>
      </c>
      <c r="C24" s="1053" t="s">
        <v>52</v>
      </c>
      <c r="D24" s="239"/>
      <c r="E24" s="239"/>
      <c r="F24" s="1052"/>
      <c r="G24" s="422"/>
      <c r="H24" s="239"/>
      <c r="I24" s="422"/>
      <c r="J24" s="421"/>
    </row>
    <row r="25" spans="1:10" ht="15" customHeight="1">
      <c r="A25" s="415"/>
      <c r="B25" s="1052" t="s">
        <v>52</v>
      </c>
      <c r="C25" s="1053" t="s">
        <v>53</v>
      </c>
      <c r="D25" s="427"/>
      <c r="E25" s="428"/>
      <c r="F25" s="429"/>
      <c r="G25" s="430"/>
      <c r="H25" s="431"/>
      <c r="I25" s="432"/>
      <c r="J25" s="421"/>
    </row>
    <row r="26" spans="1:10" ht="15" customHeight="1">
      <c r="A26" s="415"/>
      <c r="B26" s="1052" t="s">
        <v>53</v>
      </c>
      <c r="C26" s="1053" t="s">
        <v>54</v>
      </c>
      <c r="D26" s="427"/>
      <c r="E26" s="428">
        <v>2000</v>
      </c>
      <c r="F26" s="429"/>
      <c r="G26" s="430">
        <v>0</v>
      </c>
      <c r="H26" s="431"/>
      <c r="I26" s="432">
        <v>0</v>
      </c>
      <c r="J26" s="421"/>
    </row>
    <row r="27" spans="1:10" ht="15" customHeight="1">
      <c r="A27" s="415"/>
      <c r="B27" s="1052" t="s">
        <v>54</v>
      </c>
      <c r="C27" s="1053" t="s">
        <v>55</v>
      </c>
      <c r="D27" s="427"/>
      <c r="E27" s="428">
        <v>1500</v>
      </c>
      <c r="F27" s="429"/>
      <c r="G27" s="430">
        <v>0</v>
      </c>
      <c r="H27" s="431"/>
      <c r="I27" s="432">
        <v>0</v>
      </c>
      <c r="J27" s="421"/>
    </row>
    <row r="28" spans="1:10" ht="15" customHeight="1">
      <c r="A28" s="415"/>
      <c r="B28" s="1052" t="s">
        <v>55</v>
      </c>
      <c r="C28" s="1053" t="s">
        <v>56</v>
      </c>
      <c r="D28" s="427"/>
      <c r="E28" s="428">
        <v>1200</v>
      </c>
      <c r="F28" s="429"/>
      <c r="G28" s="430">
        <v>32.5</v>
      </c>
      <c r="H28" s="431"/>
      <c r="I28" s="432">
        <v>0</v>
      </c>
      <c r="J28" s="421"/>
    </row>
    <row r="29" spans="1:10" ht="15" customHeight="1">
      <c r="A29" s="415"/>
      <c r="B29" s="1052" t="s">
        <v>56</v>
      </c>
      <c r="C29" s="1053" t="s">
        <v>57</v>
      </c>
      <c r="D29" s="427"/>
      <c r="E29" s="428">
        <v>500</v>
      </c>
      <c r="F29" s="429"/>
      <c r="G29" s="430">
        <v>23</v>
      </c>
      <c r="H29" s="431"/>
      <c r="I29" s="432">
        <v>27.5</v>
      </c>
      <c r="J29" s="421"/>
    </row>
    <row r="30" spans="1:10" ht="15" customHeight="1">
      <c r="A30" s="415"/>
      <c r="B30" s="433" t="s">
        <v>57</v>
      </c>
      <c r="C30" s="434" t="s">
        <v>58</v>
      </c>
      <c r="D30" s="435"/>
      <c r="E30" s="436">
        <v>300</v>
      </c>
      <c r="F30" s="437"/>
      <c r="G30" s="438">
        <v>17</v>
      </c>
      <c r="H30" s="439"/>
      <c r="I30" s="432">
        <v>18</v>
      </c>
      <c r="J30" s="421"/>
    </row>
    <row r="31" spans="1:10" ht="15" customHeight="1">
      <c r="A31" s="415"/>
      <c r="B31" s="440" t="s">
        <v>191</v>
      </c>
      <c r="C31" s="441"/>
      <c r="D31" s="442"/>
      <c r="E31" s="443">
        <f>SUM(E24:E30)</f>
        <v>5500</v>
      </c>
      <c r="F31" s="444"/>
      <c r="G31" s="445">
        <f>SUM(G24:G30)</f>
        <v>72.5</v>
      </c>
      <c r="H31" s="1138"/>
      <c r="I31" s="445">
        <f>SUM(I24:I30)</f>
        <v>45.5</v>
      </c>
      <c r="J31" s="421"/>
    </row>
    <row r="32" spans="1:10">
      <c r="A32" s="415"/>
      <c r="B32" s="1052"/>
      <c r="C32" s="1053"/>
      <c r="D32" s="435"/>
      <c r="E32" s="446"/>
      <c r="F32" s="447"/>
      <c r="G32" s="448"/>
      <c r="H32" s="447"/>
      <c r="I32" s="446"/>
      <c r="J32" s="421"/>
    </row>
    <row r="33" spans="1:10" ht="18.75" customHeight="1" thickBot="1">
      <c r="A33" s="415"/>
      <c r="B33" s="449" t="s">
        <v>353</v>
      </c>
      <c r="C33" s="450" t="s">
        <v>187</v>
      </c>
      <c r="D33" s="451"/>
      <c r="E33" s="452"/>
      <c r="F33" s="1611">
        <f>G31/E31*100</f>
        <v>1.3181818181818181</v>
      </c>
      <c r="G33" s="1612"/>
      <c r="H33" s="1611">
        <f>I31/E31*100</f>
        <v>0.82727272727272716</v>
      </c>
      <c r="I33" s="1613"/>
      <c r="J33" s="421"/>
    </row>
    <row r="34" spans="1:10" ht="14.4" thickTop="1" thickBot="1">
      <c r="A34" s="415"/>
      <c r="B34" s="136"/>
      <c r="C34" s="136"/>
      <c r="D34" s="136"/>
      <c r="E34" s="136"/>
      <c r="F34" s="136"/>
      <c r="G34" s="136"/>
      <c r="H34" s="136"/>
      <c r="I34" s="136"/>
      <c r="J34" s="418"/>
    </row>
    <row r="35" spans="1:10">
      <c r="A35" s="415"/>
      <c r="B35" s="372"/>
      <c r="C35" s="374"/>
      <c r="D35" s="374"/>
      <c r="E35" s="374"/>
      <c r="F35" s="374"/>
      <c r="G35" s="374"/>
      <c r="H35" s="374"/>
      <c r="I35" s="376"/>
      <c r="J35" s="418"/>
    </row>
    <row r="36" spans="1:10">
      <c r="A36" s="415"/>
      <c r="B36" s="453" t="s">
        <v>354</v>
      </c>
      <c r="F36" s="454" t="s">
        <v>25</v>
      </c>
      <c r="G36" s="455">
        <f>F33+H33</f>
        <v>2.1454545454545455</v>
      </c>
      <c r="H36" s="59" t="s">
        <v>187</v>
      </c>
      <c r="I36" s="456"/>
      <c r="J36" s="418"/>
    </row>
    <row r="37" spans="1:10">
      <c r="A37" s="415"/>
      <c r="B37" s="453"/>
      <c r="F37" s="454"/>
      <c r="I37" s="456"/>
      <c r="J37" s="418"/>
    </row>
    <row r="38" spans="1:10">
      <c r="A38" s="415"/>
      <c r="B38" s="453" t="s">
        <v>355</v>
      </c>
      <c r="F38" s="454" t="s">
        <v>25</v>
      </c>
      <c r="G38" s="457">
        <v>15</v>
      </c>
      <c r="H38" s="59" t="s">
        <v>187</v>
      </c>
      <c r="I38" s="456"/>
      <c r="J38" s="418"/>
    </row>
    <row r="39" spans="1:10" ht="13.8" thickBot="1">
      <c r="A39" s="415"/>
      <c r="B39" s="458"/>
      <c r="C39" s="459"/>
      <c r="D39" s="459"/>
      <c r="E39" s="459"/>
      <c r="F39" s="459"/>
      <c r="G39" s="459"/>
      <c r="H39" s="459"/>
      <c r="I39" s="460"/>
      <c r="J39" s="418"/>
    </row>
    <row r="40" spans="1:10">
      <c r="A40" s="415"/>
      <c r="B40" s="136"/>
      <c r="C40" s="136"/>
      <c r="D40" s="136"/>
      <c r="E40" s="136"/>
      <c r="F40" s="136"/>
      <c r="G40" s="136"/>
      <c r="H40" s="136"/>
      <c r="I40" s="136"/>
      <c r="J40" s="418"/>
    </row>
    <row r="41" spans="1:10">
      <c r="A41" s="415"/>
      <c r="B41" s="347" t="s">
        <v>206</v>
      </c>
      <c r="C41" s="136"/>
      <c r="D41" s="136"/>
      <c r="E41" s="136"/>
      <c r="F41" s="136"/>
      <c r="G41" s="136"/>
      <c r="H41" s="136"/>
      <c r="I41" s="136"/>
      <c r="J41" s="418"/>
    </row>
    <row r="42" spans="1:10">
      <c r="A42" s="415"/>
      <c r="B42" s="347"/>
      <c r="C42" s="136"/>
      <c r="D42" s="136"/>
      <c r="E42" s="136"/>
      <c r="F42" s="136"/>
      <c r="G42" s="136"/>
      <c r="H42" s="136"/>
      <c r="I42" s="136"/>
      <c r="J42" s="418"/>
    </row>
    <row r="43" spans="1:10">
      <c r="A43" s="415"/>
      <c r="B43" s="347"/>
      <c r="C43" s="136"/>
      <c r="D43" s="136"/>
      <c r="E43" s="136"/>
      <c r="F43" s="136"/>
      <c r="G43" s="136"/>
      <c r="H43" s="136"/>
      <c r="I43" s="136"/>
      <c r="J43" s="418"/>
    </row>
    <row r="44" spans="1:10">
      <c r="A44" s="415"/>
      <c r="B44" s="347"/>
      <c r="C44" s="136"/>
      <c r="D44" s="136"/>
      <c r="E44" s="136"/>
      <c r="F44" s="136"/>
      <c r="G44" s="136"/>
      <c r="H44" s="136"/>
      <c r="I44" s="136"/>
      <c r="J44" s="418"/>
    </row>
    <row r="45" spans="1:10">
      <c r="A45" s="415"/>
      <c r="B45" s="347"/>
      <c r="C45" s="136"/>
      <c r="D45" s="136"/>
      <c r="E45" s="136"/>
      <c r="F45" s="136"/>
      <c r="G45" s="136"/>
      <c r="H45" s="136"/>
      <c r="I45" s="136"/>
      <c r="J45" s="418"/>
    </row>
    <row r="46" spans="1:10">
      <c r="A46" s="415"/>
      <c r="B46" s="347"/>
      <c r="C46" s="136"/>
      <c r="D46" s="136"/>
      <c r="E46" s="136"/>
      <c r="F46" s="136"/>
      <c r="G46" s="136"/>
      <c r="H46" s="136"/>
      <c r="I46" s="136"/>
      <c r="J46" s="418"/>
    </row>
    <row r="47" spans="1:10">
      <c r="A47" s="415"/>
      <c r="B47" s="347"/>
      <c r="C47" s="136"/>
      <c r="D47" s="136"/>
      <c r="E47" s="136"/>
      <c r="F47" s="136"/>
      <c r="G47" s="136"/>
      <c r="H47" s="136"/>
      <c r="I47" s="136"/>
      <c r="J47" s="418"/>
    </row>
    <row r="48" spans="1:10">
      <c r="A48" s="415"/>
      <c r="B48" s="347"/>
      <c r="C48" s="136"/>
      <c r="D48" s="136"/>
      <c r="E48" s="136"/>
      <c r="F48" s="136"/>
      <c r="G48" s="136"/>
      <c r="H48" s="136"/>
      <c r="I48" s="136"/>
      <c r="J48" s="418"/>
    </row>
    <row r="49" spans="1:10">
      <c r="A49" s="415"/>
      <c r="B49" s="347"/>
      <c r="C49" s="136"/>
      <c r="D49" s="136"/>
      <c r="E49" s="136"/>
      <c r="F49" s="136"/>
      <c r="G49" s="136"/>
      <c r="H49" s="136"/>
      <c r="I49" s="136"/>
      <c r="J49" s="418"/>
    </row>
    <row r="50" spans="1:10">
      <c r="A50" s="415"/>
      <c r="B50" s="403"/>
      <c r="C50" s="403"/>
      <c r="D50" s="403"/>
      <c r="E50" s="403"/>
      <c r="F50" s="403"/>
      <c r="G50" s="403"/>
      <c r="H50" s="403"/>
      <c r="I50" s="403"/>
      <c r="J50" s="418"/>
    </row>
    <row r="51" spans="1:10">
      <c r="A51" s="415"/>
      <c r="B51" s="403"/>
      <c r="C51" s="403"/>
      <c r="D51" s="403"/>
      <c r="E51" s="403"/>
      <c r="F51" s="403"/>
      <c r="G51" s="403"/>
      <c r="H51" s="403"/>
      <c r="I51" s="403"/>
      <c r="J51" s="418"/>
    </row>
    <row r="52" spans="1:10">
      <c r="A52" s="415"/>
      <c r="B52" s="403"/>
      <c r="C52" s="403"/>
      <c r="D52" s="403"/>
      <c r="E52" s="403"/>
      <c r="F52" s="403"/>
      <c r="G52" s="403"/>
      <c r="H52" s="403"/>
      <c r="I52" s="403"/>
      <c r="J52" s="418"/>
    </row>
    <row r="53" spans="1:10" ht="15.6">
      <c r="A53" s="415"/>
      <c r="B53" s="1603"/>
      <c r="C53" s="1603"/>
      <c r="D53" s="1603"/>
      <c r="E53" s="1603"/>
      <c r="F53" s="1603"/>
      <c r="G53" s="1603"/>
      <c r="H53" s="1603"/>
      <c r="I53" s="1603"/>
      <c r="J53" s="418"/>
    </row>
    <row r="54" spans="1:10">
      <c r="A54" s="415"/>
      <c r="B54" s="461"/>
      <c r="C54" s="461"/>
      <c r="D54" s="461"/>
      <c r="E54" s="461"/>
      <c r="F54" s="461"/>
      <c r="G54" s="461"/>
      <c r="H54" s="461"/>
      <c r="I54" s="461"/>
      <c r="J54" s="418"/>
    </row>
    <row r="55" spans="1:10">
      <c r="A55" s="415"/>
      <c r="B55" s="461"/>
      <c r="C55" s="461"/>
      <c r="D55" s="461"/>
      <c r="E55" s="461"/>
      <c r="F55" s="461"/>
      <c r="G55" s="461"/>
      <c r="H55" s="461"/>
      <c r="I55" s="461"/>
      <c r="J55" s="418"/>
    </row>
    <row r="56" spans="1:10">
      <c r="A56" s="415"/>
      <c r="B56" s="461"/>
      <c r="C56" s="461"/>
      <c r="D56" s="461"/>
      <c r="E56" s="461"/>
      <c r="F56" s="461"/>
      <c r="G56" s="461"/>
      <c r="H56" s="461"/>
      <c r="I56" s="461"/>
      <c r="J56" s="418"/>
    </row>
    <row r="57" spans="1:10">
      <c r="A57" s="415"/>
      <c r="B57" s="461"/>
      <c r="C57" s="461"/>
      <c r="D57" s="461"/>
      <c r="E57" s="461"/>
      <c r="F57" s="461"/>
      <c r="G57" s="461"/>
      <c r="H57" s="461"/>
      <c r="I57" s="461"/>
      <c r="J57" s="418"/>
    </row>
    <row r="58" spans="1:10">
      <c r="A58" s="415"/>
      <c r="B58" s="462"/>
      <c r="C58" s="462"/>
      <c r="D58" s="463"/>
      <c r="E58" s="461"/>
      <c r="F58" s="462"/>
      <c r="G58" s="461"/>
      <c r="H58" s="461"/>
      <c r="I58" s="462"/>
      <c r="J58" s="418"/>
    </row>
    <row r="59" spans="1:10">
      <c r="A59" s="415"/>
      <c r="B59" s="464"/>
      <c r="C59" s="464"/>
      <c r="D59" s="465"/>
      <c r="E59" s="461"/>
      <c r="F59" s="464"/>
      <c r="G59" s="461"/>
      <c r="H59" s="461"/>
      <c r="I59" s="464"/>
      <c r="J59" s="418"/>
    </row>
    <row r="60" spans="1:10" ht="13.8" thickBot="1">
      <c r="A60" s="458"/>
      <c r="B60" s="459"/>
      <c r="C60" s="459"/>
      <c r="D60" s="459"/>
      <c r="E60" s="459"/>
      <c r="F60" s="459"/>
      <c r="G60" s="459"/>
      <c r="H60" s="459"/>
      <c r="I60" s="459"/>
      <c r="J60" s="460"/>
    </row>
  </sheetData>
  <mergeCells count="12">
    <mergeCell ref="D20:E20"/>
    <mergeCell ref="F20:G20"/>
    <mergeCell ref="B53:E53"/>
    <mergeCell ref="F53:I53"/>
    <mergeCell ref="B9:I9"/>
    <mergeCell ref="B21:B22"/>
    <mergeCell ref="C21:C22"/>
    <mergeCell ref="F33:G33"/>
    <mergeCell ref="H33:I33"/>
    <mergeCell ref="C15:D15"/>
    <mergeCell ref="B10:I10"/>
    <mergeCell ref="B20:C20"/>
  </mergeCells>
  <phoneticPr fontId="62" type="noConversion"/>
  <printOptions horizontalCentered="1" verticalCentered="1"/>
  <pageMargins left="0.39370078740157483" right="0.39370078740157483" top="0.78740157480314965" bottom="0.78740157480314965" header="0.39370078740157483" footer="0.39370078740157483"/>
  <pageSetup paperSize="9" scale="90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/>
  <dimension ref="A1:Q40"/>
  <sheetViews>
    <sheetView zoomScale="75" workbookViewId="0">
      <selection activeCell="G5" sqref="G5"/>
    </sheetView>
  </sheetViews>
  <sheetFormatPr baseColWidth="10" defaultColWidth="11.44140625" defaultRowHeight="13.2"/>
  <cols>
    <col min="1" max="1" width="6.109375" customWidth="1"/>
    <col min="2" max="2" width="10.44140625" customWidth="1"/>
    <col min="3" max="3" width="18.109375" bestFit="1" customWidth="1"/>
    <col min="6" max="6" width="32.88671875" customWidth="1"/>
    <col min="7" max="7" width="16.88671875" customWidth="1"/>
    <col min="8" max="8" width="15.5546875" customWidth="1"/>
    <col min="16" max="16" width="20.5546875" customWidth="1"/>
    <col min="17" max="17" width="13.44140625" customWidth="1"/>
  </cols>
  <sheetData>
    <row r="1" spans="1:17">
      <c r="A1" s="51" t="s">
        <v>356</v>
      </c>
      <c r="B1" s="1620" t="s">
        <v>357</v>
      </c>
      <c r="C1" s="1620"/>
      <c r="D1" s="1620"/>
      <c r="E1" s="1620"/>
      <c r="F1" s="1620"/>
      <c r="G1" s="1620"/>
      <c r="H1" s="1620"/>
      <c r="I1" s="51"/>
    </row>
    <row r="2" spans="1:17">
      <c r="A2" s="51"/>
      <c r="B2" s="1054"/>
      <c r="C2" s="1054"/>
      <c r="D2" s="1054"/>
      <c r="E2" s="1054"/>
      <c r="F2" s="1054"/>
      <c r="G2" s="1054"/>
      <c r="H2" s="1054"/>
      <c r="I2" s="51"/>
    </row>
    <row r="3" spans="1:17">
      <c r="A3" s="51"/>
      <c r="B3" s="52" t="s">
        <v>358</v>
      </c>
      <c r="C3" s="53">
        <f>ROUND(Gran!I41,2)</f>
        <v>0</v>
      </c>
      <c r="D3" s="52" t="s">
        <v>359</v>
      </c>
      <c r="E3" s="54" t="str">
        <f>+Gran!T56</f>
        <v>---</v>
      </c>
      <c r="F3" s="51"/>
      <c r="G3" s="51"/>
      <c r="H3" s="1054"/>
      <c r="I3" s="51"/>
      <c r="K3" s="55" t="s">
        <v>360</v>
      </c>
      <c r="L3" s="55">
        <f>+IF(N_10="NP",0,N_10)</f>
        <v>0</v>
      </c>
    </row>
    <row r="4" spans="1:17" ht="15.6">
      <c r="A4" s="51"/>
      <c r="B4" s="52" t="s">
        <v>361</v>
      </c>
      <c r="C4" s="53">
        <f>IF(Gran!I33="",100,ROUND(Gran!I33,2))</f>
        <v>4.54</v>
      </c>
      <c r="D4" s="52" t="s">
        <v>362</v>
      </c>
      <c r="E4" s="53" t="str">
        <f>+Gran!T59</f>
        <v>---</v>
      </c>
      <c r="F4" s="56" t="s">
        <v>363</v>
      </c>
      <c r="G4" s="57" t="str">
        <f>+Q9</f>
        <v>GP</v>
      </c>
      <c r="H4" s="58"/>
      <c r="I4" s="51"/>
      <c r="K4" s="55" t="s">
        <v>364</v>
      </c>
      <c r="L4" s="55">
        <f>+IF(C6="NP",0,C6)</f>
        <v>0</v>
      </c>
    </row>
    <row r="5" spans="1:17">
      <c r="A5" s="51"/>
      <c r="B5" s="52" t="s">
        <v>365</v>
      </c>
      <c r="C5" s="53" t="str">
        <f>IF(Gran!G45="NP","NP",ROUND(Gran!G45,2))</f>
        <v>NP</v>
      </c>
      <c r="D5" s="1054"/>
      <c r="E5" s="1054"/>
      <c r="F5" s="52"/>
      <c r="G5" s="1054"/>
      <c r="H5" s="1054"/>
      <c r="I5" s="51"/>
      <c r="K5" s="55" t="s">
        <v>366</v>
      </c>
      <c r="L5" s="59" t="str">
        <f>IF(OR(E3="----",E3=""),0,E3)</f>
        <v>---</v>
      </c>
    </row>
    <row r="6" spans="1:17">
      <c r="A6" s="51"/>
      <c r="B6" s="52" t="s">
        <v>367</v>
      </c>
      <c r="C6" s="53" t="str">
        <f>IF(Gran!G46="NP","NP",ROUND(Gran!G46,2))</f>
        <v>NP</v>
      </c>
      <c r="D6" s="1054"/>
      <c r="E6" s="1054"/>
      <c r="F6" s="52"/>
      <c r="G6" s="1054"/>
      <c r="H6" s="1054"/>
      <c r="I6" s="51"/>
      <c r="K6" s="59" t="s">
        <v>368</v>
      </c>
      <c r="L6" s="59" t="str">
        <f>IF(OR(E4="----",E4=""),0,E4)</f>
        <v>---</v>
      </c>
    </row>
    <row r="7" spans="1:17">
      <c r="A7" s="51"/>
      <c r="B7" s="51"/>
      <c r="C7" s="1054"/>
      <c r="D7" s="51"/>
      <c r="E7" s="51"/>
      <c r="F7" s="51"/>
      <c r="G7" s="51"/>
      <c r="H7" s="51"/>
      <c r="I7" s="51"/>
    </row>
    <row r="8" spans="1:17" ht="44.25" customHeight="1">
      <c r="A8" s="51"/>
      <c r="B8" s="1621" t="s">
        <v>369</v>
      </c>
      <c r="C8" s="1621"/>
      <c r="D8" s="1621"/>
      <c r="E8" s="1139" t="s">
        <v>370</v>
      </c>
      <c r="F8" s="1140" t="s">
        <v>371</v>
      </c>
      <c r="G8" s="1622" t="s">
        <v>372</v>
      </c>
      <c r="H8" s="1622"/>
      <c r="I8" s="51"/>
      <c r="L8" s="60" t="s">
        <v>373</v>
      </c>
      <c r="M8" s="1643" t="s">
        <v>374</v>
      </c>
      <c r="N8" s="1643"/>
      <c r="O8" s="61" t="s">
        <v>375</v>
      </c>
      <c r="P8" s="60" t="s">
        <v>376</v>
      </c>
      <c r="Q8" s="62" t="s">
        <v>377</v>
      </c>
    </row>
    <row r="9" spans="1:17" ht="36.75" customHeight="1">
      <c r="A9" s="51"/>
      <c r="B9" s="1626" t="s">
        <v>378</v>
      </c>
      <c r="C9" s="1644" t="s">
        <v>379</v>
      </c>
      <c r="D9" s="1623" t="s">
        <v>380</v>
      </c>
      <c r="E9" s="63" t="s">
        <v>381</v>
      </c>
      <c r="F9" s="64" t="s">
        <v>382</v>
      </c>
      <c r="G9" s="1624" t="s">
        <v>383</v>
      </c>
      <c r="H9" s="1625"/>
      <c r="I9" s="51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/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/>
      </c>
      <c r="Q9" t="str">
        <f>+P9&amp;P10&amp;P11&amp;P12&amp;P13&amp;P14&amp;P15&amp;P16&amp;P17&amp;P18&amp;P19&amp;P20&amp;P21&amp;P22&amp;P23&amp;P24</f>
        <v>GP</v>
      </c>
    </row>
    <row r="10" spans="1:17" ht="36.75" customHeight="1">
      <c r="A10" s="51"/>
      <c r="B10" s="1626"/>
      <c r="C10" s="1644"/>
      <c r="D10" s="1623"/>
      <c r="E10" s="65" t="s">
        <v>384</v>
      </c>
      <c r="F10" s="66" t="s">
        <v>385</v>
      </c>
      <c r="G10" s="1651" t="s">
        <v>386</v>
      </c>
      <c r="H10" s="1652"/>
      <c r="I10" s="51"/>
      <c r="L10" t="str">
        <f>IF(AND(N_200&lt;50,(100-N_40)&gt;=0.5*(100-N_200),N_200&lt;5,OR(CU&lt;4,CC&lt;1,CC&gt;3)),"GP","")</f>
        <v>GP</v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>GP</v>
      </c>
    </row>
    <row r="11" spans="1:17" ht="43.5" customHeight="1">
      <c r="A11" s="51"/>
      <c r="B11" s="1626"/>
      <c r="C11" s="1644"/>
      <c r="D11" s="1623" t="s">
        <v>387</v>
      </c>
      <c r="E11" s="65" t="s">
        <v>388</v>
      </c>
      <c r="F11" s="67" t="s">
        <v>389</v>
      </c>
      <c r="G11" s="68" t="s">
        <v>390</v>
      </c>
      <c r="H11" s="1647" t="s">
        <v>391</v>
      </c>
      <c r="I11" s="51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>
      <c r="A12" s="51"/>
      <c r="B12" s="1626"/>
      <c r="C12" s="1653"/>
      <c r="D12" s="1623"/>
      <c r="E12" s="69" t="s">
        <v>392</v>
      </c>
      <c r="F12" s="66" t="s">
        <v>393</v>
      </c>
      <c r="G12" s="68" t="s">
        <v>394</v>
      </c>
      <c r="H12" s="1648"/>
      <c r="I12" s="51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>
      <c r="A13" s="51"/>
      <c r="B13" s="1626"/>
      <c r="C13" s="1644" t="s">
        <v>395</v>
      </c>
      <c r="D13" s="1623" t="s">
        <v>396</v>
      </c>
      <c r="E13" s="70" t="s">
        <v>397</v>
      </c>
      <c r="F13" s="71" t="s">
        <v>398</v>
      </c>
      <c r="G13" s="1645" t="s">
        <v>399</v>
      </c>
      <c r="H13" s="1646"/>
      <c r="I13" s="51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>
      <c r="A14" s="51"/>
      <c r="B14" s="1626"/>
      <c r="C14" s="1644"/>
      <c r="D14" s="1623"/>
      <c r="E14" s="70" t="s">
        <v>400</v>
      </c>
      <c r="F14" s="71" t="s">
        <v>401</v>
      </c>
      <c r="G14" s="1645" t="s">
        <v>402</v>
      </c>
      <c r="H14" s="1646"/>
      <c r="I14" s="51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>
      <c r="A15" s="51"/>
      <c r="B15" s="1626"/>
      <c r="C15" s="1644"/>
      <c r="D15" s="1623" t="s">
        <v>403</v>
      </c>
      <c r="E15" s="70" t="s">
        <v>404</v>
      </c>
      <c r="F15" s="72" t="s">
        <v>405</v>
      </c>
      <c r="G15" s="73" t="s">
        <v>406</v>
      </c>
      <c r="H15" s="1649" t="s">
        <v>407</v>
      </c>
      <c r="I15" s="51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>
      <c r="A16" s="51"/>
      <c r="B16" s="1627"/>
      <c r="C16" s="1644"/>
      <c r="D16" s="1623"/>
      <c r="E16" s="74" t="s">
        <v>408</v>
      </c>
      <c r="F16" s="72" t="s">
        <v>409</v>
      </c>
      <c r="G16" s="71" t="s">
        <v>410</v>
      </c>
      <c r="H16" s="1650"/>
      <c r="I16" s="51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>
      <c r="A17" s="51"/>
      <c r="B17" s="1628" t="s">
        <v>411</v>
      </c>
      <c r="C17" s="1631" t="s">
        <v>412</v>
      </c>
      <c r="D17" s="1632"/>
      <c r="E17" s="75" t="s">
        <v>413</v>
      </c>
      <c r="F17" s="76" t="s">
        <v>414</v>
      </c>
      <c r="G17" s="1637" t="s">
        <v>415</v>
      </c>
      <c r="H17" s="1638"/>
      <c r="I17" s="51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>
      <c r="A18" s="51"/>
      <c r="B18" s="1629"/>
      <c r="C18" s="1633"/>
      <c r="D18" s="1634"/>
      <c r="E18" s="75" t="s">
        <v>416</v>
      </c>
      <c r="F18" s="76" t="s">
        <v>417</v>
      </c>
      <c r="G18" s="1639"/>
      <c r="H18" s="1640"/>
      <c r="I18" s="51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>
      <c r="A19" s="51"/>
      <c r="B19" s="1629"/>
      <c r="C19" s="1635"/>
      <c r="D19" s="1636"/>
      <c r="E19" s="75" t="s">
        <v>418</v>
      </c>
      <c r="F19" s="77" t="s">
        <v>419</v>
      </c>
      <c r="G19" s="78"/>
      <c r="H19" s="78"/>
      <c r="I19" s="51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>
      <c r="A20" s="51"/>
      <c r="B20" s="1629"/>
      <c r="C20" s="1633" t="s">
        <v>420</v>
      </c>
      <c r="D20" s="1641"/>
      <c r="E20" s="79" t="s">
        <v>421</v>
      </c>
      <c r="F20" s="80" t="s">
        <v>422</v>
      </c>
      <c r="G20" s="51"/>
      <c r="H20" s="51"/>
      <c r="I20" s="51"/>
      <c r="L20" t="str">
        <f>IF(AND(N_200&gt;=50,Ll&gt;=50,IP&gt;0,IP&lt;=16),"MH","")</f>
        <v/>
      </c>
      <c r="P20" t="str">
        <f t="shared" si="0"/>
        <v/>
      </c>
    </row>
    <row r="21" spans="1:16" ht="24" customHeight="1">
      <c r="A21" s="51"/>
      <c r="B21" s="1629"/>
      <c r="C21" s="1633"/>
      <c r="D21" s="1641"/>
      <c r="E21" s="79" t="s">
        <v>423</v>
      </c>
      <c r="F21" s="80" t="s">
        <v>424</v>
      </c>
      <c r="G21" s="51"/>
      <c r="H21" s="51"/>
      <c r="I21" s="51"/>
      <c r="L21" t="str">
        <f>IF(AND(N_200&gt;=50,Ll&gt;=50,IP&gt;=0.73*(Ll-20)),"CH","")</f>
        <v/>
      </c>
      <c r="P21" t="str">
        <f t="shared" si="0"/>
        <v/>
      </c>
    </row>
    <row r="22" spans="1:16" ht="24" customHeight="1">
      <c r="A22" s="51"/>
      <c r="B22" s="1629"/>
      <c r="C22" s="1635"/>
      <c r="D22" s="1642"/>
      <c r="E22" s="81" t="s">
        <v>425</v>
      </c>
      <c r="F22" s="80" t="s">
        <v>426</v>
      </c>
      <c r="G22" s="51"/>
      <c r="H22" s="51"/>
      <c r="I22" s="51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>
      <c r="A23" s="51"/>
      <c r="B23" s="1629"/>
      <c r="C23" s="1631" t="s">
        <v>427</v>
      </c>
      <c r="D23" s="1632"/>
      <c r="E23" s="1141" t="s">
        <v>428</v>
      </c>
      <c r="F23" s="1142" t="s">
        <v>429</v>
      </c>
      <c r="G23" s="51"/>
      <c r="H23" s="51"/>
      <c r="I23" s="51"/>
      <c r="L23" t="str">
        <f>IF(AND(N_200&gt;=50,IP&gt;=0.73*(Ll-20),IP&gt;=4,IP&lt;7,IP&lt;0.9*(Ll-8)),"CL-ML","")</f>
        <v/>
      </c>
      <c r="P23" t="str">
        <f t="shared" si="0"/>
        <v/>
      </c>
    </row>
    <row r="24" spans="1:16">
      <c r="A24" s="51"/>
      <c r="B24" s="1630"/>
      <c r="C24" s="82"/>
      <c r="D24" s="83"/>
      <c r="E24" s="84"/>
      <c r="F24" s="85"/>
      <c r="G24" s="51"/>
      <c r="H24" s="51"/>
      <c r="I24" s="51"/>
      <c r="P24" t="str">
        <f t="shared" si="0"/>
        <v/>
      </c>
    </row>
    <row r="25" spans="1:16">
      <c r="A25" s="51"/>
      <c r="B25" s="86"/>
      <c r="C25" s="86"/>
      <c r="D25" s="86"/>
      <c r="E25" s="87"/>
      <c r="F25" s="88"/>
      <c r="G25" s="51"/>
      <c r="H25" s="51"/>
      <c r="I25" s="51"/>
    </row>
    <row r="26" spans="1:16">
      <c r="A26" s="51"/>
      <c r="B26" s="86"/>
      <c r="C26" s="86"/>
      <c r="D26" s="86"/>
      <c r="E26" s="89"/>
      <c r="F26" s="88"/>
      <c r="G26" s="51"/>
      <c r="H26" s="51"/>
      <c r="I26" s="51"/>
    </row>
    <row r="27" spans="1:16">
      <c r="A27" s="51"/>
      <c r="B27" s="51"/>
      <c r="C27" s="51"/>
      <c r="D27" s="51"/>
      <c r="E27" s="89"/>
      <c r="F27" s="88"/>
      <c r="G27" s="51"/>
      <c r="H27" s="51"/>
      <c r="I27" s="51"/>
    </row>
    <row r="28" spans="1:16">
      <c r="A28" s="51"/>
      <c r="B28" s="51"/>
      <c r="C28" s="51"/>
      <c r="D28" s="51"/>
      <c r="E28" s="89"/>
      <c r="F28" s="88"/>
      <c r="G28" s="51"/>
      <c r="H28" s="51"/>
      <c r="I28" s="51"/>
    </row>
    <row r="29" spans="1:16">
      <c r="A29" s="51"/>
      <c r="B29" s="51"/>
      <c r="C29" s="51"/>
      <c r="D29" s="51"/>
      <c r="E29" s="89"/>
      <c r="F29" s="88"/>
      <c r="G29" s="51"/>
      <c r="H29" s="51"/>
      <c r="I29" s="51"/>
    </row>
    <row r="30" spans="1:16">
      <c r="F30" s="90"/>
    </row>
    <row r="31" spans="1:16">
      <c r="F31" s="90"/>
    </row>
    <row r="32" spans="1:16">
      <c r="F32" s="90"/>
    </row>
    <row r="33" spans="6:6">
      <c r="F33" s="90"/>
    </row>
    <row r="34" spans="6:6">
      <c r="F34" s="90"/>
    </row>
    <row r="35" spans="6:6">
      <c r="F35" s="90"/>
    </row>
    <row r="36" spans="6:6">
      <c r="F36" s="90"/>
    </row>
    <row r="37" spans="6:6">
      <c r="F37" s="90"/>
    </row>
    <row r="38" spans="6:6">
      <c r="F38" s="90"/>
    </row>
    <row r="39" spans="6:6">
      <c r="F39" s="90"/>
    </row>
    <row r="40" spans="6:6">
      <c r="F40" s="90"/>
    </row>
  </sheetData>
  <mergeCells count="22">
    <mergeCell ref="M8:N8"/>
    <mergeCell ref="C13:C16"/>
    <mergeCell ref="D13:D14"/>
    <mergeCell ref="G13:H13"/>
    <mergeCell ref="D11:D12"/>
    <mergeCell ref="H11:H12"/>
    <mergeCell ref="G14:H14"/>
    <mergeCell ref="D15:D16"/>
    <mergeCell ref="H15:H16"/>
    <mergeCell ref="G10:H10"/>
    <mergeCell ref="C9:C12"/>
    <mergeCell ref="B17:B24"/>
    <mergeCell ref="C17:D19"/>
    <mergeCell ref="G17:H18"/>
    <mergeCell ref="C20:D22"/>
    <mergeCell ref="C23:D23"/>
    <mergeCell ref="B1:H1"/>
    <mergeCell ref="B8:D8"/>
    <mergeCell ref="G8:H8"/>
    <mergeCell ref="D9:D10"/>
    <mergeCell ref="G9:H9"/>
    <mergeCell ref="B9:B1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7"/>
  <dimension ref="A1:Q42"/>
  <sheetViews>
    <sheetView topLeftCell="A19" workbookViewId="0">
      <selection activeCell="F11" sqref="F11"/>
    </sheetView>
  </sheetViews>
  <sheetFormatPr baseColWidth="10" defaultColWidth="11.44140625" defaultRowHeight="13.2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36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48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48"/>
    </row>
    <row r="4" spans="1:16" ht="33" customHeight="1" thickBot="1">
      <c r="A4" s="1"/>
      <c r="B4" s="1654" t="s">
        <v>430</v>
      </c>
      <c r="C4" s="1655"/>
      <c r="D4" s="1656" t="s">
        <v>431</v>
      </c>
      <c r="E4" s="1656"/>
      <c r="F4" s="1656"/>
      <c r="G4" s="1656"/>
      <c r="H4" s="1656"/>
      <c r="I4" s="1656"/>
      <c r="J4" s="1656"/>
      <c r="K4" s="1657" t="s">
        <v>432</v>
      </c>
      <c r="L4" s="1658"/>
      <c r="M4" s="1658"/>
      <c r="N4" s="1658"/>
      <c r="O4" s="1659"/>
    </row>
    <row r="5" spans="1:16">
      <c r="A5" s="1"/>
      <c r="B5" s="1660" t="s">
        <v>433</v>
      </c>
      <c r="C5" s="1661"/>
      <c r="D5" s="1664" t="s">
        <v>434</v>
      </c>
      <c r="E5" s="1665"/>
      <c r="F5" s="1674" t="s">
        <v>435</v>
      </c>
      <c r="G5" s="1664" t="s">
        <v>436</v>
      </c>
      <c r="H5" s="1676"/>
      <c r="I5" s="1676"/>
      <c r="J5" s="1665"/>
      <c r="K5" s="1677" t="s">
        <v>437</v>
      </c>
      <c r="L5" s="1679" t="s">
        <v>438</v>
      </c>
      <c r="M5" s="1681" t="s">
        <v>439</v>
      </c>
      <c r="N5" s="1668" t="s">
        <v>440</v>
      </c>
      <c r="O5" s="1669"/>
    </row>
    <row r="6" spans="1:16">
      <c r="A6" s="1"/>
      <c r="B6" s="1662"/>
      <c r="C6" s="1663"/>
      <c r="D6" s="3" t="s">
        <v>441</v>
      </c>
      <c r="E6" s="1143" t="s">
        <v>442</v>
      </c>
      <c r="F6" s="1675"/>
      <c r="G6" s="3" t="s">
        <v>443</v>
      </c>
      <c r="H6" s="1144" t="s">
        <v>444</v>
      </c>
      <c r="I6" s="1145" t="s">
        <v>445</v>
      </c>
      <c r="J6" s="1143" t="s">
        <v>446</v>
      </c>
      <c r="K6" s="1678"/>
      <c r="L6" s="1680"/>
      <c r="M6" s="1682"/>
      <c r="N6" s="1055" t="s">
        <v>447</v>
      </c>
      <c r="O6" s="1146" t="s">
        <v>448</v>
      </c>
    </row>
    <row r="7" spans="1:16">
      <c r="A7" s="1"/>
      <c r="B7" s="4"/>
      <c r="C7" s="5"/>
      <c r="D7" s="6"/>
      <c r="E7" s="7"/>
      <c r="F7" s="8"/>
      <c r="G7" s="6"/>
      <c r="H7" s="9"/>
      <c r="I7" s="8"/>
      <c r="J7" s="7"/>
      <c r="K7" s="10"/>
      <c r="L7" s="11"/>
      <c r="M7" s="12"/>
      <c r="N7" s="10"/>
      <c r="O7" s="13"/>
    </row>
    <row r="8" spans="1:16">
      <c r="A8" s="1"/>
      <c r="B8" s="14" t="s">
        <v>449</v>
      </c>
      <c r="C8" s="5"/>
      <c r="D8" s="6"/>
      <c r="E8" s="7"/>
      <c r="F8" s="8"/>
      <c r="G8" s="6"/>
      <c r="H8" s="9"/>
      <c r="I8" s="8"/>
      <c r="J8" s="7"/>
      <c r="K8" s="10"/>
      <c r="L8" s="11"/>
      <c r="M8" s="12"/>
      <c r="N8" s="10"/>
      <c r="O8" s="13"/>
    </row>
    <row r="9" spans="1:16">
      <c r="A9" s="1"/>
      <c r="B9" s="14" t="s">
        <v>450</v>
      </c>
      <c r="C9" s="5"/>
      <c r="D9" s="6"/>
      <c r="E9" s="7"/>
      <c r="F9" s="8"/>
      <c r="G9" s="6"/>
      <c r="H9" s="9"/>
      <c r="I9" s="8"/>
      <c r="J9" s="7"/>
      <c r="K9" s="10"/>
      <c r="L9" s="11"/>
      <c r="M9" s="12"/>
      <c r="N9" s="10"/>
      <c r="O9" s="13"/>
    </row>
    <row r="10" spans="1:16">
      <c r="A10" s="1"/>
      <c r="B10" s="15"/>
      <c r="C10" s="5"/>
      <c r="D10" s="6"/>
      <c r="E10" s="7"/>
      <c r="F10" s="8"/>
      <c r="G10" s="6"/>
      <c r="H10" s="9"/>
      <c r="I10" s="8"/>
      <c r="J10" s="7"/>
      <c r="K10" s="10"/>
      <c r="L10" s="11"/>
      <c r="M10" s="12"/>
      <c r="N10" s="10"/>
      <c r="O10" s="13"/>
    </row>
    <row r="11" spans="1:16">
      <c r="A11" s="1"/>
      <c r="B11" s="16" t="s">
        <v>451</v>
      </c>
      <c r="C11" s="17">
        <f>+IF(Gran!I34="",100,ROUND(Gran!I34,1))</f>
        <v>2</v>
      </c>
      <c r="D11" s="6" t="s">
        <v>452</v>
      </c>
      <c r="E11" s="7"/>
      <c r="F11" s="8"/>
      <c r="G11" s="6"/>
      <c r="H11" s="9"/>
      <c r="I11" s="8"/>
      <c r="J11" s="7"/>
      <c r="K11" s="10"/>
      <c r="L11" s="11"/>
      <c r="M11" s="12"/>
      <c r="N11" s="10"/>
      <c r="O11" s="13"/>
    </row>
    <row r="12" spans="1:16">
      <c r="A12" s="1"/>
      <c r="B12" s="16" t="s">
        <v>453</v>
      </c>
      <c r="C12" s="17">
        <f>+IF(Gran!I37="",100,ROUND(Gran!I37,1))</f>
        <v>100</v>
      </c>
      <c r="D12" s="6" t="s">
        <v>454</v>
      </c>
      <c r="E12" s="7" t="s">
        <v>452</v>
      </c>
      <c r="F12" s="8" t="s">
        <v>455</v>
      </c>
      <c r="G12" s="6"/>
      <c r="H12" s="9"/>
      <c r="I12" s="8"/>
      <c r="J12" s="7"/>
      <c r="K12" s="10"/>
      <c r="L12" s="11"/>
      <c r="M12" s="12"/>
      <c r="N12" s="10"/>
      <c r="O12" s="13"/>
    </row>
    <row r="13" spans="1:16">
      <c r="A13" s="1"/>
      <c r="B13" s="16" t="s">
        <v>456</v>
      </c>
      <c r="C13" s="17">
        <f>ROUND(Gran!I41,1)</f>
        <v>0</v>
      </c>
      <c r="D13" s="6" t="s">
        <v>457</v>
      </c>
      <c r="E13" s="7" t="s">
        <v>458</v>
      </c>
      <c r="F13" s="8" t="s">
        <v>459</v>
      </c>
      <c r="G13" s="6" t="s">
        <v>460</v>
      </c>
      <c r="H13" s="9" t="s">
        <v>460</v>
      </c>
      <c r="I13" s="8" t="s">
        <v>460</v>
      </c>
      <c r="J13" s="7" t="s">
        <v>460</v>
      </c>
      <c r="K13" s="10" t="s">
        <v>461</v>
      </c>
      <c r="L13" s="11" t="s">
        <v>461</v>
      </c>
      <c r="M13" s="12" t="s">
        <v>461</v>
      </c>
      <c r="N13" s="10" t="s">
        <v>461</v>
      </c>
      <c r="O13" s="13" t="s">
        <v>461</v>
      </c>
    </row>
    <row r="14" spans="1:16">
      <c r="A14" s="1"/>
      <c r="B14" s="1147"/>
      <c r="C14" s="18"/>
      <c r="D14" s="19"/>
      <c r="E14" s="20"/>
      <c r="F14" s="1148"/>
      <c r="G14" s="19"/>
      <c r="H14" s="21"/>
      <c r="I14" s="1148"/>
      <c r="J14" s="20"/>
      <c r="K14" s="22"/>
      <c r="L14" s="23"/>
      <c r="M14" s="1149"/>
      <c r="N14" s="22"/>
      <c r="O14" s="24"/>
    </row>
    <row r="15" spans="1:16">
      <c r="A15" s="1"/>
      <c r="B15" s="25"/>
      <c r="C15" s="26"/>
      <c r="D15" s="27"/>
      <c r="E15" s="28"/>
      <c r="F15" s="29"/>
      <c r="G15" s="27"/>
      <c r="H15" s="30"/>
      <c r="I15" s="29"/>
      <c r="J15" s="28"/>
      <c r="K15" s="31"/>
      <c r="L15" s="32"/>
      <c r="M15" s="33"/>
      <c r="N15" s="31"/>
      <c r="O15" s="34"/>
    </row>
    <row r="16" spans="1:16">
      <c r="A16" s="1"/>
      <c r="B16" s="35" t="s">
        <v>462</v>
      </c>
      <c r="C16" s="36"/>
      <c r="D16" s="27"/>
      <c r="E16" s="28"/>
      <c r="F16" s="29"/>
      <c r="G16" s="27"/>
      <c r="H16" s="30"/>
      <c r="I16" s="29"/>
      <c r="J16" s="28"/>
      <c r="K16" s="31"/>
      <c r="L16" s="32"/>
      <c r="M16" s="33"/>
      <c r="N16" s="31"/>
      <c r="O16" s="34"/>
    </row>
    <row r="17" spans="1:15">
      <c r="A17" s="1"/>
      <c r="B17" s="35" t="s">
        <v>463</v>
      </c>
      <c r="C17" s="36"/>
      <c r="D17" s="27"/>
      <c r="E17" s="28"/>
      <c r="F17" s="29"/>
      <c r="G17" s="27"/>
      <c r="H17" s="30"/>
      <c r="I17" s="29"/>
      <c r="J17" s="28"/>
      <c r="K17" s="31"/>
      <c r="L17" s="32"/>
      <c r="M17" s="33"/>
      <c r="N17" s="31"/>
      <c r="O17" s="34"/>
    </row>
    <row r="18" spans="1:15">
      <c r="A18" s="1"/>
      <c r="B18" s="35" t="s">
        <v>464</v>
      </c>
      <c r="C18" s="36"/>
      <c r="D18" s="27"/>
      <c r="E18" s="28"/>
      <c r="F18" s="29"/>
      <c r="G18" s="27"/>
      <c r="H18" s="30"/>
      <c r="I18" s="29"/>
      <c r="J18" s="28"/>
      <c r="K18" s="31"/>
      <c r="L18" s="32"/>
      <c r="M18" s="33"/>
      <c r="N18" s="31"/>
      <c r="O18" s="34"/>
    </row>
    <row r="19" spans="1:15">
      <c r="A19" s="1"/>
      <c r="B19" s="37"/>
      <c r="C19" s="36"/>
      <c r="D19" s="27"/>
      <c r="E19" s="28"/>
      <c r="F19" s="29"/>
      <c r="G19" s="27"/>
      <c r="H19" s="30"/>
      <c r="I19" s="29"/>
      <c r="J19" s="28"/>
      <c r="K19" s="31"/>
      <c r="L19" s="32"/>
      <c r="M19" s="33"/>
      <c r="N19" s="31"/>
      <c r="O19" s="34"/>
    </row>
    <row r="20" spans="1:15">
      <c r="A20" s="1"/>
      <c r="B20" s="38" t="s">
        <v>465</v>
      </c>
      <c r="C20" s="36" t="str">
        <f>IF(Gran!G45="NP","NP",ROUND(Gran!G45,1))</f>
        <v>NP</v>
      </c>
      <c r="D20" s="27"/>
      <c r="E20" s="28"/>
      <c r="F20" s="29"/>
      <c r="G20" s="27" t="s">
        <v>466</v>
      </c>
      <c r="H20" s="30" t="s">
        <v>467</v>
      </c>
      <c r="I20" s="29" t="s">
        <v>466</v>
      </c>
      <c r="J20" s="28" t="s">
        <v>467</v>
      </c>
      <c r="K20" s="31" t="s">
        <v>466</v>
      </c>
      <c r="L20" s="32" t="s">
        <v>467</v>
      </c>
      <c r="M20" s="33" t="s">
        <v>466</v>
      </c>
      <c r="N20" s="31" t="s">
        <v>467</v>
      </c>
      <c r="O20" s="34" t="s">
        <v>467</v>
      </c>
    </row>
    <row r="21" spans="1:15">
      <c r="A21" s="1"/>
      <c r="B21" s="38" t="s">
        <v>468</v>
      </c>
      <c r="C21" s="36" t="str">
        <f>IF(Gran!G46="NP","NP",ROUND(Gran!G46,1))</f>
        <v>NP</v>
      </c>
      <c r="D21" s="27" t="s">
        <v>469</v>
      </c>
      <c r="E21" s="28" t="s">
        <v>469</v>
      </c>
      <c r="F21" s="29" t="s">
        <v>470</v>
      </c>
      <c r="G21" s="27" t="s">
        <v>459</v>
      </c>
      <c r="H21" s="30" t="s">
        <v>459</v>
      </c>
      <c r="I21" s="29" t="s">
        <v>471</v>
      </c>
      <c r="J21" s="28" t="s">
        <v>471</v>
      </c>
      <c r="K21" s="31" t="s">
        <v>459</v>
      </c>
      <c r="L21" s="32" t="s">
        <v>459</v>
      </c>
      <c r="M21" s="33" t="s">
        <v>471</v>
      </c>
      <c r="N21" s="31" t="s">
        <v>472</v>
      </c>
      <c r="O21" s="34" t="s">
        <v>472</v>
      </c>
    </row>
    <row r="22" spans="1:15">
      <c r="A22" s="1"/>
      <c r="B22" s="1150"/>
      <c r="C22" s="39" t="s">
        <v>285</v>
      </c>
      <c r="D22" s="40"/>
      <c r="E22" s="41"/>
      <c r="F22" s="1151"/>
      <c r="G22" s="40"/>
      <c r="H22" s="42"/>
      <c r="I22" s="1151"/>
      <c r="J22" s="41"/>
      <c r="K22" s="43"/>
      <c r="L22" s="44"/>
      <c r="M22" s="1152"/>
      <c r="N22" s="43"/>
      <c r="O22" s="45"/>
    </row>
    <row r="23" spans="1:15" ht="13.8" thickBot="1">
      <c r="A23" s="1"/>
      <c r="B23" s="1153" t="s">
        <v>473</v>
      </c>
      <c r="C23" s="1154">
        <f>+D38</f>
        <v>0</v>
      </c>
      <c r="D23" s="1670">
        <v>0</v>
      </c>
      <c r="E23" s="1671"/>
      <c r="F23" s="1155">
        <v>0</v>
      </c>
      <c r="G23" s="1670">
        <v>0</v>
      </c>
      <c r="H23" s="1672"/>
      <c r="I23" s="1673" t="s">
        <v>474</v>
      </c>
      <c r="J23" s="1671"/>
      <c r="K23" s="1156" t="s">
        <v>475</v>
      </c>
      <c r="L23" s="1157" t="s">
        <v>476</v>
      </c>
      <c r="M23" s="1158" t="s">
        <v>477</v>
      </c>
      <c r="N23" s="1156" t="s">
        <v>478</v>
      </c>
      <c r="O23" s="1159" t="s">
        <v>478</v>
      </c>
    </row>
    <row r="24" spans="1:15" ht="13.8" thickTop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7.399999999999999">
      <c r="A26" s="1"/>
      <c r="B26" s="1"/>
      <c r="C26" s="1"/>
      <c r="D26" s="1"/>
      <c r="E26" s="46" t="s">
        <v>479</v>
      </c>
      <c r="F26" s="2"/>
      <c r="G26" s="47"/>
      <c r="H26" s="2"/>
      <c r="I26" s="2"/>
      <c r="J26" s="1666" t="str">
        <f>+D31&amp;" "&amp;F38</f>
        <v>A-3 (0)</v>
      </c>
      <c r="K26" s="1667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hidden="1" customHeight="1"/>
    <row r="29" spans="1:15" ht="12.75" hidden="1" customHeight="1">
      <c r="D29" t="str">
        <f>IF(AND(C11&lt;=50,C12&lt;=30,C13&lt;=15,OR(C21&lt;=6,C21="NP"),C23&lt;=0),D6,"--")</f>
        <v>--</v>
      </c>
      <c r="E29" t="str">
        <f>IF(AND(C12&lt;=50,C13&lt;=25,OR(C21&lt;=6,C21="NP"),C23&lt;=0),E6,"--")</f>
        <v>--</v>
      </c>
      <c r="F29" t="str">
        <f>IF(AND(C12&gt;50,C13&lt;=10,OR(C20="N.P.",C20="NP",C20=0),OR(C21="N.P.",C21="NP",C21=0),C23&lt;=0),F5,"--")</f>
        <v>A-3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>
      <c r="D30" t="str">
        <f>IF(D29&lt;&gt;"--",D29,"")</f>
        <v/>
      </c>
      <c r="E30" t="str">
        <f>IF(AND(D29="--",E29&lt;&gt;"--"),E29,"")</f>
        <v/>
      </c>
      <c r="F30" t="str">
        <f>IF(AND(D29="--",E29="--",F29&lt;&gt;"--"),F29,"")</f>
        <v>A-3</v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>
      <c r="D31" t="str">
        <f>+D30&amp;E30&amp;F30&amp;G30&amp;H30&amp;I30&amp;J30&amp;K30&amp;L30&amp;M30&amp;N30&amp;O30</f>
        <v>A-3</v>
      </c>
    </row>
    <row r="32" spans="1:15" ht="12.75" hidden="1" customHeight="1"/>
    <row r="33" spans="1:15" ht="12.75" hidden="1" customHeight="1">
      <c r="C33" t="s">
        <v>86</v>
      </c>
      <c r="D33" s="91">
        <f>+IF(C13&gt;75,40,IF(C13&lt;35,1,IF(C13&lt;40,40-C13,C13-40)))</f>
        <v>1</v>
      </c>
    </row>
    <row r="34" spans="1:15" ht="12.75" hidden="1" customHeight="1">
      <c r="C34" t="s">
        <v>88</v>
      </c>
      <c r="D34" s="91">
        <f>+IF(C13&gt;55,40,IF(C13&lt;15,1,C13-15))</f>
        <v>1</v>
      </c>
    </row>
    <row r="35" spans="1:15" ht="12.75" hidden="1" customHeight="1">
      <c r="C35" s="48" t="s">
        <v>90</v>
      </c>
      <c r="D35" s="91">
        <f>+IF(C20="NP",1,IF(C20&gt;60,20,IF(C20&lt;40,1,C20-40)))</f>
        <v>1</v>
      </c>
    </row>
    <row r="36" spans="1:15" ht="12.75" hidden="1" customHeight="1">
      <c r="C36" t="s">
        <v>92</v>
      </c>
      <c r="D36" s="91">
        <f>+IF(C21="NP",1,IF(C21&gt;30,20,IF(C21&lt;10,1,C21-10)))</f>
        <v>1</v>
      </c>
    </row>
    <row r="37" spans="1:15" ht="12.75" hidden="1" customHeight="1"/>
    <row r="38" spans="1:15" ht="12.75" hidden="1" customHeight="1">
      <c r="C38" s="49">
        <f>0.2*D33+0.005*D33*D35+0.01*D34*D36</f>
        <v>0.21500000000000002</v>
      </c>
      <c r="D38" s="50">
        <f>ROUND(C38,0)</f>
        <v>0</v>
      </c>
      <c r="F38" t="str">
        <f>+"("&amp;D38&amp;")"</f>
        <v>(0)</v>
      </c>
    </row>
    <row r="39" spans="1:15" ht="12.75" hidden="1" customHeight="1"/>
    <row r="40" spans="1:15" ht="12.75" hidden="1" customHeight="1"/>
    <row r="41" spans="1:15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5"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  <mergeCell ref="B4:C4"/>
    <mergeCell ref="D4:J4"/>
    <mergeCell ref="K4:O4"/>
    <mergeCell ref="B5:C6"/>
    <mergeCell ref="D5:E5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/>
  <cols>
    <col min="1" max="7" width="11.44140625" style="96"/>
    <col min="8" max="10" width="11.44140625" style="97"/>
    <col min="11" max="12" width="11.44140625" style="96"/>
    <col min="13" max="13" width="13.44140625" style="96" customWidth="1"/>
    <col min="14" max="16384" width="11.44140625" style="96"/>
  </cols>
  <sheetData>
    <row r="1" spans="1:16">
      <c r="A1" s="92">
        <f>+D1</f>
        <v>76.2</v>
      </c>
      <c r="B1" s="93">
        <v>0</v>
      </c>
      <c r="C1" s="94" t="s">
        <v>48</v>
      </c>
      <c r="D1" s="95">
        <v>76.2</v>
      </c>
      <c r="E1" s="93">
        <v>0</v>
      </c>
      <c r="F1" s="93">
        <v>100</v>
      </c>
      <c r="G1" s="96">
        <f>+Gran!F24</f>
        <v>0</v>
      </c>
      <c r="H1" s="97">
        <f>+G1/Gran!$D$18*100</f>
        <v>0</v>
      </c>
      <c r="I1" s="97">
        <f>+H1</f>
        <v>0</v>
      </c>
      <c r="J1" s="97">
        <f>100-I1</f>
        <v>100</v>
      </c>
      <c r="L1" s="1684" t="s">
        <v>480</v>
      </c>
      <c r="M1" s="1684"/>
      <c r="N1" s="1684"/>
      <c r="O1" s="1684"/>
      <c r="P1" s="1684"/>
    </row>
    <row r="2" spans="1:16">
      <c r="A2" s="92">
        <f>+A1</f>
        <v>76.2</v>
      </c>
      <c r="B2" s="93">
        <v>100</v>
      </c>
      <c r="C2" s="98" t="s">
        <v>49</v>
      </c>
      <c r="D2" s="95">
        <v>63.5</v>
      </c>
      <c r="E2" s="93">
        <v>0</v>
      </c>
      <c r="F2" s="93">
        <v>100</v>
      </c>
      <c r="G2" s="96">
        <f>+Gran!F25</f>
        <v>0</v>
      </c>
      <c r="H2" s="97">
        <f>+G2/Gran!$D$18*100</f>
        <v>0</v>
      </c>
      <c r="I2" s="97">
        <f>+H2+I1</f>
        <v>0</v>
      </c>
      <c r="J2" s="97">
        <f t="shared" ref="J2:J21" si="0">100-I2</f>
        <v>100</v>
      </c>
      <c r="L2" s="1056" t="s">
        <v>481</v>
      </c>
      <c r="M2" s="1056" t="s">
        <v>482</v>
      </c>
      <c r="N2" s="1683" t="s">
        <v>483</v>
      </c>
      <c r="O2" s="1683"/>
      <c r="P2" s="1056" t="s">
        <v>484</v>
      </c>
    </row>
    <row r="3" spans="1:16">
      <c r="A3" s="99"/>
      <c r="B3" s="99"/>
      <c r="C3" s="94" t="s">
        <v>52</v>
      </c>
      <c r="D3" s="95">
        <v>50.6</v>
      </c>
      <c r="E3" s="93">
        <v>0</v>
      </c>
      <c r="F3" s="93">
        <v>100</v>
      </c>
      <c r="G3" s="96">
        <f>+Gran!F26</f>
        <v>0</v>
      </c>
      <c r="H3" s="97">
        <f>+G3/Gran!$D$18*100</f>
        <v>0</v>
      </c>
      <c r="I3" s="97">
        <f t="shared" ref="I3:I21" si="1">+H3+I2</f>
        <v>0</v>
      </c>
      <c r="J3" s="97">
        <f t="shared" si="0"/>
        <v>100</v>
      </c>
      <c r="L3" s="103" t="str">
        <f>+C3</f>
        <v>2"</v>
      </c>
      <c r="M3" s="232">
        <f>+D3</f>
        <v>50.6</v>
      </c>
      <c r="N3" s="104">
        <f>+Gran!K26</f>
        <v>100</v>
      </c>
      <c r="O3" s="104">
        <f>+Gran!K26</f>
        <v>100</v>
      </c>
      <c r="P3" s="105">
        <f>+J3</f>
        <v>100</v>
      </c>
    </row>
    <row r="4" spans="1:16">
      <c r="A4" s="92">
        <f>+D2</f>
        <v>63.5</v>
      </c>
      <c r="B4" s="93">
        <v>0</v>
      </c>
      <c r="C4" s="98" t="s">
        <v>53</v>
      </c>
      <c r="D4" s="95">
        <v>38.1</v>
      </c>
      <c r="E4" s="93">
        <v>0</v>
      </c>
      <c r="F4" s="93">
        <v>100</v>
      </c>
      <c r="G4" s="96">
        <f>+Gran!F27</f>
        <v>0</v>
      </c>
      <c r="H4" s="97">
        <f>+G4/Gran!$D$18*100</f>
        <v>0</v>
      </c>
      <c r="I4" s="97">
        <f t="shared" si="1"/>
        <v>0</v>
      </c>
      <c r="J4" s="97">
        <f t="shared" si="0"/>
        <v>100</v>
      </c>
      <c r="L4" s="103" t="str">
        <f t="shared" ref="L4:L21" si="2">+C4</f>
        <v>1 1/2"</v>
      </c>
      <c r="M4" s="232">
        <f t="shared" ref="M4:M21" si="3">+D4</f>
        <v>38.1</v>
      </c>
      <c r="N4" s="104">
        <f>+Gran!J27</f>
        <v>95</v>
      </c>
      <c r="O4" s="104">
        <f>+Gran!L27</f>
        <v>100</v>
      </c>
      <c r="P4" s="105">
        <f t="shared" ref="P4:P21" si="4">+J4</f>
        <v>100</v>
      </c>
    </row>
    <row r="5" spans="1:16">
      <c r="A5" s="92">
        <f>+A4</f>
        <v>63.5</v>
      </c>
      <c r="B5" s="93">
        <v>100</v>
      </c>
      <c r="C5" s="94" t="s">
        <v>54</v>
      </c>
      <c r="D5" s="95">
        <v>25.4</v>
      </c>
      <c r="E5" s="93">
        <v>0</v>
      </c>
      <c r="F5" s="93">
        <v>100</v>
      </c>
      <c r="G5" s="96">
        <f>+Gran!F28</f>
        <v>0</v>
      </c>
      <c r="H5" s="97">
        <f>+G5/Gran!$D$18*100</f>
        <v>0</v>
      </c>
      <c r="I5" s="97">
        <f t="shared" si="1"/>
        <v>0</v>
      </c>
      <c r="J5" s="97">
        <f t="shared" si="0"/>
        <v>100</v>
      </c>
      <c r="L5" s="103" t="str">
        <f t="shared" si="2"/>
        <v>1"</v>
      </c>
      <c r="M5" s="232">
        <f t="shared" si="3"/>
        <v>25.4</v>
      </c>
      <c r="N5" s="104">
        <f>+Gran!J28</f>
        <v>0</v>
      </c>
      <c r="O5" s="104">
        <f>+Gran!L28</f>
        <v>0</v>
      </c>
      <c r="P5" s="105">
        <f t="shared" si="4"/>
        <v>100</v>
      </c>
    </row>
    <row r="6" spans="1:16">
      <c r="A6" s="99"/>
      <c r="B6" s="99"/>
      <c r="C6" s="94" t="s">
        <v>55</v>
      </c>
      <c r="D6" s="95">
        <v>19.05</v>
      </c>
      <c r="E6" s="93">
        <v>0</v>
      </c>
      <c r="F6" s="93">
        <v>100</v>
      </c>
      <c r="G6" s="96">
        <f>+Gran!F29</f>
        <v>1866</v>
      </c>
      <c r="H6" s="97">
        <f>+G6/Gran!$D$18*100</f>
        <v>23.359162775559259</v>
      </c>
      <c r="I6" s="97">
        <f t="shared" si="1"/>
        <v>23.359162775559259</v>
      </c>
      <c r="J6" s="97">
        <f t="shared" si="0"/>
        <v>76.640837224440745</v>
      </c>
      <c r="L6" s="103" t="str">
        <f t="shared" si="2"/>
        <v>3/4"</v>
      </c>
      <c r="M6" s="232">
        <f t="shared" si="3"/>
        <v>19.05</v>
      </c>
      <c r="N6" s="104">
        <f>+Gran!J29</f>
        <v>35</v>
      </c>
      <c r="O6" s="104">
        <f>+Gran!L29</f>
        <v>70</v>
      </c>
      <c r="P6" s="105">
        <f t="shared" si="4"/>
        <v>76.640837224440745</v>
      </c>
    </row>
    <row r="7" spans="1:16">
      <c r="A7" s="92">
        <f>+D3</f>
        <v>50.6</v>
      </c>
      <c r="B7" s="93">
        <v>0</v>
      </c>
      <c r="C7" s="94" t="s">
        <v>56</v>
      </c>
      <c r="D7" s="95">
        <v>12.7</v>
      </c>
      <c r="E7" s="93">
        <v>0</v>
      </c>
      <c r="F7" s="93">
        <v>100</v>
      </c>
      <c r="G7" s="96">
        <f>+Gran!F30</f>
        <v>2894</v>
      </c>
      <c r="H7" s="97">
        <f>+G7/Gran!$D$18*100</f>
        <v>36.227983425760179</v>
      </c>
      <c r="I7" s="97">
        <f t="shared" si="1"/>
        <v>59.587146201319442</v>
      </c>
      <c r="J7" s="97">
        <f t="shared" si="0"/>
        <v>40.412853798680558</v>
      </c>
      <c r="L7" s="103" t="str">
        <f t="shared" si="2"/>
        <v>1/2"</v>
      </c>
      <c r="M7" s="232">
        <f t="shared" si="3"/>
        <v>12.7</v>
      </c>
      <c r="N7" s="104">
        <f>+Gran!J31</f>
        <v>10</v>
      </c>
      <c r="O7" s="104">
        <f>+Gran!L31</f>
        <v>30</v>
      </c>
      <c r="P7" s="105">
        <f t="shared" si="4"/>
        <v>40.412853798680558</v>
      </c>
    </row>
    <row r="8" spans="1:16">
      <c r="A8" s="92">
        <f>+A7</f>
        <v>50.6</v>
      </c>
      <c r="B8" s="93">
        <v>100</v>
      </c>
      <c r="C8" s="94" t="s">
        <v>57</v>
      </c>
      <c r="D8" s="95">
        <v>9.5250000000000004</v>
      </c>
      <c r="E8" s="93">
        <v>0</v>
      </c>
      <c r="F8" s="93">
        <v>100</v>
      </c>
      <c r="G8" s="96">
        <f>+Gran!F31</f>
        <v>1632</v>
      </c>
      <c r="H8" s="97">
        <f>+G8/Gran!$D$18*100</f>
        <v>20.429878697595235</v>
      </c>
      <c r="I8" s="97">
        <f t="shared" si="1"/>
        <v>80.017024898914684</v>
      </c>
      <c r="J8" s="97">
        <f t="shared" si="0"/>
        <v>19.982975101085316</v>
      </c>
      <c r="L8" s="103" t="str">
        <f t="shared" si="2"/>
        <v>3/8"</v>
      </c>
      <c r="M8" s="232">
        <f t="shared" si="3"/>
        <v>9.5250000000000004</v>
      </c>
      <c r="N8" s="104">
        <f>+Gran!J33</f>
        <v>0</v>
      </c>
      <c r="O8" s="104">
        <f>+Gran!L33</f>
        <v>5</v>
      </c>
      <c r="P8" s="105">
        <f t="shared" si="4"/>
        <v>19.982975101085316</v>
      </c>
    </row>
    <row r="9" spans="1:16">
      <c r="A9" s="99"/>
      <c r="B9" s="99"/>
      <c r="C9" s="94" t="s">
        <v>58</v>
      </c>
      <c r="D9" s="95">
        <v>6.35</v>
      </c>
      <c r="E9" s="93">
        <v>0</v>
      </c>
      <c r="F9" s="93">
        <v>100</v>
      </c>
      <c r="I9" s="97">
        <f>+I8</f>
        <v>80.017024898914684</v>
      </c>
      <c r="J9" s="97">
        <f>+(J8+J10)/2</f>
        <v>18.781217530638536</v>
      </c>
      <c r="L9" s="103" t="str">
        <f t="shared" si="2"/>
        <v>1/4"</v>
      </c>
      <c r="M9" s="232">
        <f t="shared" si="3"/>
        <v>6.35</v>
      </c>
      <c r="N9" s="104">
        <f>+Gran!J34</f>
        <v>0</v>
      </c>
      <c r="O9" s="104">
        <f>+Gran!L34</f>
        <v>0</v>
      </c>
      <c r="P9" s="105">
        <f t="shared" si="4"/>
        <v>18.781217530638536</v>
      </c>
    </row>
    <row r="10" spans="1:16">
      <c r="A10" s="92">
        <f>+D4</f>
        <v>38.1</v>
      </c>
      <c r="B10" s="93">
        <v>0</v>
      </c>
      <c r="C10" s="94" t="s">
        <v>59</v>
      </c>
      <c r="D10" s="95">
        <v>4.76</v>
      </c>
      <c r="E10" s="93">
        <v>0</v>
      </c>
      <c r="F10" s="93">
        <v>100</v>
      </c>
      <c r="G10" s="96">
        <f>+Gran!F33</f>
        <v>192</v>
      </c>
      <c r="H10" s="97">
        <f>+G10/Gran!$D$18*100</f>
        <v>2.4035151408935569</v>
      </c>
      <c r="I10" s="97">
        <f t="shared" si="1"/>
        <v>82.420540039808245</v>
      </c>
      <c r="J10" s="97">
        <f t="shared" si="0"/>
        <v>17.579459960191755</v>
      </c>
      <c r="L10" s="103" t="str">
        <f t="shared" si="2"/>
        <v>No4</v>
      </c>
      <c r="M10" s="232">
        <f t="shared" si="3"/>
        <v>4.76</v>
      </c>
      <c r="N10" s="104">
        <f>+Gran!J37</f>
        <v>0</v>
      </c>
      <c r="O10" s="104">
        <f>+Gran!L37</f>
        <v>0</v>
      </c>
      <c r="P10" s="105">
        <f t="shared" si="4"/>
        <v>17.579459960191755</v>
      </c>
    </row>
    <row r="11" spans="1:16">
      <c r="A11" s="92">
        <f>+A10</f>
        <v>38.1</v>
      </c>
      <c r="B11" s="93">
        <v>100</v>
      </c>
      <c r="C11" s="94">
        <v>8</v>
      </c>
      <c r="D11" s="95">
        <v>2.38</v>
      </c>
      <c r="E11" s="93">
        <v>0</v>
      </c>
      <c r="F11" s="93">
        <v>100</v>
      </c>
      <c r="I11" s="97">
        <f>+I10</f>
        <v>82.420540039808245</v>
      </c>
      <c r="J11" s="97">
        <f>+(J10+J12)/2</f>
        <v>16.328255073044303</v>
      </c>
      <c r="L11" s="103">
        <f t="shared" si="2"/>
        <v>8</v>
      </c>
      <c r="M11" s="232">
        <f t="shared" si="3"/>
        <v>2.38</v>
      </c>
      <c r="N11" s="104">
        <f>+Gran!J41</f>
        <v>0</v>
      </c>
      <c r="O11" s="104">
        <f>+Gran!L41</f>
        <v>0</v>
      </c>
      <c r="P11" s="105">
        <f t="shared" si="4"/>
        <v>16.328255073044303</v>
      </c>
    </row>
    <row r="12" spans="1:16">
      <c r="A12" s="99"/>
      <c r="B12" s="99"/>
      <c r="C12" s="94">
        <v>10</v>
      </c>
      <c r="D12" s="95">
        <v>2</v>
      </c>
      <c r="E12" s="93">
        <v>0</v>
      </c>
      <c r="F12" s="93">
        <v>100</v>
      </c>
      <c r="G12" s="96">
        <f>+Gran!F34</f>
        <v>199.9</v>
      </c>
      <c r="H12" s="97">
        <f>+G12/Gran!$D$18*100</f>
        <v>2.5024097742949065</v>
      </c>
      <c r="I12" s="97">
        <f t="shared" si="1"/>
        <v>84.922949814103148</v>
      </c>
      <c r="J12" s="97">
        <f t="shared" si="0"/>
        <v>15.077050185896852</v>
      </c>
      <c r="L12" s="103">
        <f t="shared" si="2"/>
        <v>10</v>
      </c>
      <c r="M12" s="232">
        <f t="shared" si="3"/>
        <v>2</v>
      </c>
      <c r="N12" s="100"/>
      <c r="O12" s="100"/>
      <c r="P12" s="105">
        <f t="shared" si="4"/>
        <v>15.077050185896852</v>
      </c>
    </row>
    <row r="13" spans="1:16">
      <c r="A13" s="92">
        <f>+D5</f>
        <v>25.4</v>
      </c>
      <c r="B13" s="93">
        <v>0</v>
      </c>
      <c r="C13" s="94">
        <v>16</v>
      </c>
      <c r="D13" s="95">
        <v>1.19</v>
      </c>
      <c r="E13" s="93">
        <v>0</v>
      </c>
      <c r="F13" s="93">
        <v>100</v>
      </c>
      <c r="I13" s="97">
        <f>+I12</f>
        <v>84.922949814103148</v>
      </c>
      <c r="J13" s="97">
        <f>+(J12+J14)/2</f>
        <v>14.060563574227288</v>
      </c>
      <c r="L13" s="103">
        <f t="shared" si="2"/>
        <v>16</v>
      </c>
      <c r="M13" s="232">
        <f t="shared" si="3"/>
        <v>1.19</v>
      </c>
      <c r="P13" s="105">
        <f t="shared" si="4"/>
        <v>14.060563574227288</v>
      </c>
    </row>
    <row r="14" spans="1:16">
      <c r="A14" s="92">
        <f>+A13</f>
        <v>25.4</v>
      </c>
      <c r="B14" s="93">
        <v>100</v>
      </c>
      <c r="C14" s="94">
        <v>20</v>
      </c>
      <c r="D14" s="95">
        <v>0.84</v>
      </c>
      <c r="E14" s="93">
        <v>0</v>
      </c>
      <c r="F14" s="93">
        <v>100</v>
      </c>
      <c r="G14" s="96">
        <f>+Gran!F35</f>
        <v>162.4</v>
      </c>
      <c r="H14" s="97">
        <f>+G14/Gran!$D$18*100</f>
        <v>2.0329732233391336</v>
      </c>
      <c r="I14" s="97">
        <f t="shared" si="1"/>
        <v>86.955923037442275</v>
      </c>
      <c r="J14" s="97">
        <f t="shared" si="0"/>
        <v>13.044076962557725</v>
      </c>
      <c r="L14" s="103">
        <f t="shared" si="2"/>
        <v>20</v>
      </c>
      <c r="M14" s="232">
        <f t="shared" si="3"/>
        <v>0.84</v>
      </c>
      <c r="P14" s="105">
        <f t="shared" si="4"/>
        <v>13.044076962557725</v>
      </c>
    </row>
    <row r="15" spans="1:16">
      <c r="A15" s="99"/>
      <c r="B15" s="99"/>
      <c r="C15" s="94">
        <v>30</v>
      </c>
      <c r="D15" s="95">
        <v>0.59</v>
      </c>
      <c r="E15" s="93">
        <v>0</v>
      </c>
      <c r="F15" s="93">
        <v>100</v>
      </c>
      <c r="I15" s="97">
        <f>+I14</f>
        <v>86.955923037442275</v>
      </c>
      <c r="J15" s="97">
        <f>+(J14+J16)/2</f>
        <v>13.044076962557725</v>
      </c>
      <c r="L15" s="103">
        <f t="shared" si="2"/>
        <v>30</v>
      </c>
      <c r="M15" s="232">
        <f t="shared" si="3"/>
        <v>0.59</v>
      </c>
      <c r="P15" s="105">
        <f t="shared" si="4"/>
        <v>13.044076962557725</v>
      </c>
    </row>
    <row r="16" spans="1:16">
      <c r="A16" s="92">
        <f>+D6</f>
        <v>19.05</v>
      </c>
      <c r="B16" s="93">
        <v>0</v>
      </c>
      <c r="C16" s="94">
        <v>40</v>
      </c>
      <c r="D16" s="95">
        <v>0.42</v>
      </c>
      <c r="E16" s="93">
        <v>0</v>
      </c>
      <c r="F16" s="93">
        <v>100</v>
      </c>
      <c r="G16" s="96">
        <f>+Gran!F37</f>
        <v>0</v>
      </c>
      <c r="H16" s="97">
        <f>+G16/Gran!$D$18*100</f>
        <v>0</v>
      </c>
      <c r="I16" s="97">
        <f>+H16+I15</f>
        <v>86.955923037442275</v>
      </c>
      <c r="J16" s="97">
        <f>100-I16</f>
        <v>13.044076962557725</v>
      </c>
      <c r="L16" s="103">
        <f t="shared" si="2"/>
        <v>40</v>
      </c>
      <c r="M16" s="232">
        <f t="shared" si="3"/>
        <v>0.42</v>
      </c>
      <c r="P16" s="105">
        <f t="shared" si="4"/>
        <v>13.044076962557725</v>
      </c>
    </row>
    <row r="17" spans="1:16">
      <c r="A17" s="92">
        <f>+A16</f>
        <v>19.05</v>
      </c>
      <c r="B17" s="93">
        <v>100</v>
      </c>
      <c r="C17" s="94">
        <v>50</v>
      </c>
      <c r="D17" s="95">
        <v>0.3</v>
      </c>
      <c r="E17" s="93">
        <v>0</v>
      </c>
      <c r="F17" s="93">
        <v>100</v>
      </c>
      <c r="I17" s="97">
        <f>+I16</f>
        <v>86.955923037442275</v>
      </c>
      <c r="J17" s="97">
        <f>+(J16+J18)/2</f>
        <v>13.044076962557725</v>
      </c>
      <c r="L17" s="103">
        <f t="shared" si="2"/>
        <v>50</v>
      </c>
      <c r="M17" s="232">
        <f t="shared" si="3"/>
        <v>0.3</v>
      </c>
      <c r="P17" s="105">
        <f t="shared" si="4"/>
        <v>13.044076962557725</v>
      </c>
    </row>
    <row r="18" spans="1:16">
      <c r="A18" s="99"/>
      <c r="B18" s="99"/>
      <c r="C18" s="94">
        <v>60</v>
      </c>
      <c r="D18" s="95">
        <v>0.25</v>
      </c>
      <c r="E18" s="93">
        <v>0</v>
      </c>
      <c r="F18" s="93">
        <v>100</v>
      </c>
      <c r="G18" s="96">
        <f>+Gran!F38</f>
        <v>0</v>
      </c>
      <c r="H18" s="97">
        <f>+G18/Gran!$D$18*100</f>
        <v>0</v>
      </c>
      <c r="I18" s="97">
        <f t="shared" si="1"/>
        <v>86.955923037442275</v>
      </c>
      <c r="J18" s="97">
        <f t="shared" si="0"/>
        <v>13.044076962557725</v>
      </c>
      <c r="L18" s="103">
        <f t="shared" si="2"/>
        <v>60</v>
      </c>
      <c r="M18" s="232">
        <f t="shared" si="3"/>
        <v>0.25</v>
      </c>
      <c r="P18" s="105">
        <f t="shared" si="4"/>
        <v>13.044076962557725</v>
      </c>
    </row>
    <row r="19" spans="1:16">
      <c r="A19" s="92">
        <f>+D7</f>
        <v>12.7</v>
      </c>
      <c r="B19" s="93">
        <v>0</v>
      </c>
      <c r="C19" s="94">
        <v>80</v>
      </c>
      <c r="D19" s="95">
        <v>0.18</v>
      </c>
      <c r="E19" s="93">
        <v>0</v>
      </c>
      <c r="F19" s="93">
        <v>100</v>
      </c>
      <c r="G19" s="96">
        <f>Gran!F39</f>
        <v>0</v>
      </c>
      <c r="H19" s="97">
        <f>+G19/Gran!$D$18*100</f>
        <v>0</v>
      </c>
      <c r="I19" s="97">
        <f>+H19+I18</f>
        <v>86.955923037442275</v>
      </c>
      <c r="J19" s="97">
        <f t="shared" si="0"/>
        <v>13.044076962557725</v>
      </c>
      <c r="L19" s="103">
        <f t="shared" si="2"/>
        <v>80</v>
      </c>
      <c r="M19" s="232">
        <f t="shared" si="3"/>
        <v>0.18</v>
      </c>
      <c r="P19" s="105">
        <f t="shared" si="4"/>
        <v>13.044076962557725</v>
      </c>
    </row>
    <row r="20" spans="1:16">
      <c r="A20" s="92">
        <f>+A19</f>
        <v>12.7</v>
      </c>
      <c r="B20" s="93">
        <v>100</v>
      </c>
      <c r="C20" s="94">
        <v>100</v>
      </c>
      <c r="D20" s="95">
        <v>0.14899999999999999</v>
      </c>
      <c r="E20" s="93">
        <v>0</v>
      </c>
      <c r="F20" s="93">
        <v>100</v>
      </c>
      <c r="G20" s="96">
        <f>+Gran!F40</f>
        <v>0</v>
      </c>
      <c r="H20" s="97">
        <f>+G20/Gran!$D$18*100</f>
        <v>0</v>
      </c>
      <c r="I20" s="97">
        <f>+H20+I19</f>
        <v>86.955923037442275</v>
      </c>
      <c r="J20" s="97">
        <f t="shared" si="0"/>
        <v>13.044076962557725</v>
      </c>
      <c r="L20" s="103">
        <f>+C20</f>
        <v>100</v>
      </c>
      <c r="M20" s="232">
        <f t="shared" si="3"/>
        <v>0.14899999999999999</v>
      </c>
      <c r="P20" s="105">
        <f t="shared" si="4"/>
        <v>13.044076962557725</v>
      </c>
    </row>
    <row r="21" spans="1:16">
      <c r="A21" s="99"/>
      <c r="B21" s="99"/>
      <c r="C21" s="94">
        <v>200</v>
      </c>
      <c r="D21" s="95">
        <v>7.3999999999999996E-2</v>
      </c>
      <c r="E21" s="93">
        <v>0</v>
      </c>
      <c r="F21" s="93">
        <v>100</v>
      </c>
      <c r="G21" s="96">
        <f>+Gran!F41</f>
        <v>0</v>
      </c>
      <c r="H21" s="97">
        <f>+G21/Gran!$D$18*100</f>
        <v>0</v>
      </c>
      <c r="I21" s="97">
        <f t="shared" si="1"/>
        <v>86.955923037442275</v>
      </c>
      <c r="J21" s="97">
        <f t="shared" si="0"/>
        <v>13.044076962557725</v>
      </c>
      <c r="L21" s="103">
        <f t="shared" si="2"/>
        <v>200</v>
      </c>
      <c r="M21" s="232">
        <f t="shared" si="3"/>
        <v>7.3999999999999996E-2</v>
      </c>
      <c r="P21" s="105">
        <f t="shared" si="4"/>
        <v>13.044076962557725</v>
      </c>
    </row>
    <row r="22" spans="1:16">
      <c r="A22" s="92">
        <f>+D8</f>
        <v>9.5250000000000004</v>
      </c>
      <c r="B22" s="93">
        <v>0</v>
      </c>
      <c r="D22" s="1160" t="e">
        <f>+M22</f>
        <v>#REF!</v>
      </c>
      <c r="E22" s="93">
        <v>0</v>
      </c>
      <c r="F22" s="93">
        <v>100</v>
      </c>
      <c r="L22" s="103"/>
      <c r="M22" s="232" t="e">
        <f>#REF!</f>
        <v>#REF!</v>
      </c>
      <c r="P22" s="234" t="e">
        <f>+#REF!</f>
        <v>#REF!</v>
      </c>
    </row>
    <row r="23" spans="1:16">
      <c r="A23" s="92">
        <f>+A22</f>
        <v>9.5250000000000004</v>
      </c>
      <c r="B23" s="93">
        <v>100</v>
      </c>
      <c r="D23" s="1160" t="e">
        <f t="shared" ref="D23:D30" si="5">+M23</f>
        <v>#REF!</v>
      </c>
      <c r="E23" s="93">
        <v>0</v>
      </c>
      <c r="F23" s="93">
        <v>100</v>
      </c>
      <c r="L23" s="103"/>
      <c r="M23" s="232" t="e">
        <f>+#REF!</f>
        <v>#REF!</v>
      </c>
      <c r="P23" s="234" t="e">
        <f>+#REF!</f>
        <v>#REF!</v>
      </c>
    </row>
    <row r="24" spans="1:16">
      <c r="A24" s="99"/>
      <c r="B24" s="99"/>
      <c r="D24" s="1160" t="e">
        <f t="shared" si="5"/>
        <v>#REF!</v>
      </c>
      <c r="E24" s="93">
        <v>0</v>
      </c>
      <c r="F24" s="93">
        <v>100</v>
      </c>
      <c r="L24" s="103"/>
      <c r="M24" s="232" t="e">
        <f>+#REF!</f>
        <v>#REF!</v>
      </c>
      <c r="P24" s="234" t="e">
        <f>+#REF!</f>
        <v>#REF!</v>
      </c>
    </row>
    <row r="25" spans="1:16">
      <c r="A25" s="92">
        <f>+D9</f>
        <v>6.35</v>
      </c>
      <c r="B25" s="93">
        <v>0</v>
      </c>
      <c r="D25" s="1160" t="e">
        <f t="shared" si="5"/>
        <v>#REF!</v>
      </c>
      <c r="E25" s="93">
        <v>0</v>
      </c>
      <c r="F25" s="93">
        <v>100</v>
      </c>
      <c r="L25" s="103"/>
      <c r="M25" s="232" t="e">
        <f>+#REF!</f>
        <v>#REF!</v>
      </c>
      <c r="P25" s="234" t="e">
        <f>+#REF!</f>
        <v>#REF!</v>
      </c>
    </row>
    <row r="26" spans="1:16">
      <c r="A26" s="92">
        <f>+A25</f>
        <v>6.35</v>
      </c>
      <c r="B26" s="93">
        <v>100</v>
      </c>
      <c r="D26" s="1160" t="e">
        <f t="shared" si="5"/>
        <v>#REF!</v>
      </c>
      <c r="E26" s="93">
        <v>0</v>
      </c>
      <c r="F26" s="93">
        <v>100</v>
      </c>
      <c r="L26" s="103"/>
      <c r="M26" s="232" t="e">
        <f>+#REF!</f>
        <v>#REF!</v>
      </c>
      <c r="P26" s="234" t="e">
        <f>+#REF!</f>
        <v>#REF!</v>
      </c>
    </row>
    <row r="27" spans="1:16">
      <c r="A27" s="99"/>
      <c r="B27" s="99"/>
      <c r="D27" s="1160" t="e">
        <f t="shared" si="5"/>
        <v>#REF!</v>
      </c>
      <c r="E27" s="93">
        <v>0</v>
      </c>
      <c r="F27" s="93">
        <v>100</v>
      </c>
      <c r="L27" s="233"/>
      <c r="M27" s="232" t="e">
        <f>+#REF!</f>
        <v>#REF!</v>
      </c>
      <c r="P27" s="234" t="e">
        <f>+#REF!</f>
        <v>#REF!</v>
      </c>
    </row>
    <row r="28" spans="1:16">
      <c r="A28" s="92">
        <f>+D10</f>
        <v>4.76</v>
      </c>
      <c r="B28" s="93">
        <v>0</v>
      </c>
      <c r="D28" s="1160" t="e">
        <f t="shared" si="5"/>
        <v>#REF!</v>
      </c>
      <c r="E28" s="93">
        <v>0</v>
      </c>
      <c r="F28" s="93">
        <v>100</v>
      </c>
      <c r="G28" s="101"/>
      <c r="L28" s="233"/>
      <c r="M28" s="232" t="e">
        <f>+#REF!</f>
        <v>#REF!</v>
      </c>
      <c r="P28" s="234" t="e">
        <f>+#REF!</f>
        <v>#REF!</v>
      </c>
    </row>
    <row r="29" spans="1:16">
      <c r="A29" s="92">
        <f>+A28</f>
        <v>4.76</v>
      </c>
      <c r="B29" s="93">
        <v>100</v>
      </c>
      <c r="D29" s="1160" t="e">
        <f t="shared" si="5"/>
        <v>#REF!</v>
      </c>
      <c r="E29" s="93">
        <v>0</v>
      </c>
      <c r="F29" s="93">
        <v>100</v>
      </c>
      <c r="L29" s="233"/>
      <c r="M29" s="232" t="e">
        <f>+#REF!</f>
        <v>#REF!</v>
      </c>
      <c r="P29" s="234" t="e">
        <f>+#REF!</f>
        <v>#REF!</v>
      </c>
    </row>
    <row r="30" spans="1:16">
      <c r="A30" s="99"/>
      <c r="B30" s="99"/>
      <c r="D30" s="1161" t="e">
        <f t="shared" si="5"/>
        <v>#REF!</v>
      </c>
      <c r="E30" s="93">
        <v>0</v>
      </c>
      <c r="F30" s="93">
        <v>100</v>
      </c>
      <c r="L30" s="233"/>
      <c r="M30" s="232" t="e">
        <f>+#REF!</f>
        <v>#REF!</v>
      </c>
      <c r="P30" s="234" t="e">
        <f>+#REF!</f>
        <v>#REF!</v>
      </c>
    </row>
    <row r="31" spans="1:16">
      <c r="A31" s="92">
        <f>+D11</f>
        <v>2.38</v>
      </c>
      <c r="B31" s="102">
        <v>0</v>
      </c>
      <c r="M31" s="231"/>
    </row>
    <row r="32" spans="1:16">
      <c r="A32" s="92">
        <f>+A31</f>
        <v>2.38</v>
      </c>
      <c r="B32" s="102">
        <v>100</v>
      </c>
      <c r="M32" s="231"/>
    </row>
    <row r="33" spans="1:13">
      <c r="A33" s="99"/>
      <c r="B33" s="99"/>
      <c r="M33" s="231"/>
    </row>
    <row r="34" spans="1:13">
      <c r="A34" s="92">
        <f>+D12</f>
        <v>2</v>
      </c>
      <c r="B34" s="102">
        <v>0</v>
      </c>
      <c r="M34" s="231"/>
    </row>
    <row r="35" spans="1:13">
      <c r="A35" s="92">
        <f>+A34</f>
        <v>2</v>
      </c>
      <c r="B35" s="102">
        <v>100</v>
      </c>
      <c r="M35" s="231"/>
    </row>
    <row r="36" spans="1:13">
      <c r="A36" s="99"/>
      <c r="B36" s="99"/>
      <c r="M36" s="231"/>
    </row>
    <row r="37" spans="1:13">
      <c r="A37" s="92">
        <f>+D13</f>
        <v>1.19</v>
      </c>
      <c r="B37" s="102">
        <v>0</v>
      </c>
      <c r="M37" s="231"/>
    </row>
    <row r="38" spans="1:13">
      <c r="A38" s="92">
        <f>+A37</f>
        <v>1.19</v>
      </c>
      <c r="B38" s="102">
        <v>100</v>
      </c>
      <c r="M38" s="231"/>
    </row>
    <row r="39" spans="1:13">
      <c r="A39" s="99"/>
      <c r="B39" s="99"/>
      <c r="M39" s="231"/>
    </row>
    <row r="40" spans="1:13">
      <c r="A40" s="92">
        <f>+D14</f>
        <v>0.84</v>
      </c>
      <c r="B40" s="102">
        <v>0</v>
      </c>
      <c r="M40" s="231"/>
    </row>
    <row r="41" spans="1:13">
      <c r="A41" s="92">
        <f>+A40</f>
        <v>0.84</v>
      </c>
      <c r="B41" s="102">
        <v>100</v>
      </c>
    </row>
    <row r="42" spans="1:13">
      <c r="A42" s="99"/>
      <c r="B42" s="99"/>
    </row>
    <row r="43" spans="1:13">
      <c r="A43" s="92">
        <f>+D15</f>
        <v>0.59</v>
      </c>
      <c r="B43" s="102">
        <v>0</v>
      </c>
    </row>
    <row r="44" spans="1:13">
      <c r="A44" s="92">
        <f>+A43</f>
        <v>0.59</v>
      </c>
      <c r="B44" s="102">
        <v>100</v>
      </c>
    </row>
    <row r="45" spans="1:13">
      <c r="A45" s="99"/>
      <c r="B45" s="99"/>
    </row>
    <row r="46" spans="1:13">
      <c r="A46" s="92">
        <f>+D16</f>
        <v>0.42</v>
      </c>
      <c r="B46" s="102">
        <v>0</v>
      </c>
    </row>
    <row r="47" spans="1:13">
      <c r="A47" s="92">
        <f>+A46</f>
        <v>0.42</v>
      </c>
      <c r="B47" s="102">
        <v>100</v>
      </c>
    </row>
    <row r="48" spans="1:13">
      <c r="A48" s="99"/>
      <c r="B48" s="99"/>
    </row>
    <row r="49" spans="1:10">
      <c r="A49" s="92">
        <f>+D17</f>
        <v>0.3</v>
      </c>
      <c r="B49" s="93">
        <v>0</v>
      </c>
    </row>
    <row r="50" spans="1:10">
      <c r="A50" s="92">
        <f>+A49</f>
        <v>0.3</v>
      </c>
      <c r="B50" s="93">
        <v>100</v>
      </c>
    </row>
    <row r="51" spans="1:10">
      <c r="A51" s="99"/>
      <c r="B51" s="99"/>
    </row>
    <row r="52" spans="1:10">
      <c r="A52" s="92">
        <f>+D18</f>
        <v>0.25</v>
      </c>
      <c r="B52" s="102">
        <v>0</v>
      </c>
    </row>
    <row r="53" spans="1:10">
      <c r="A53" s="92">
        <f>+A52</f>
        <v>0.25</v>
      </c>
      <c r="B53" s="102">
        <v>100</v>
      </c>
    </row>
    <row r="54" spans="1:10">
      <c r="A54" s="99"/>
      <c r="B54" s="99"/>
    </row>
    <row r="55" spans="1:10">
      <c r="A55" s="92">
        <f>+D19</f>
        <v>0.18</v>
      </c>
      <c r="B55" s="102">
        <v>0</v>
      </c>
    </row>
    <row r="56" spans="1:10">
      <c r="A56" s="92">
        <f>+A55</f>
        <v>0.18</v>
      </c>
      <c r="B56" s="102">
        <v>100</v>
      </c>
    </row>
    <row r="57" spans="1:10">
      <c r="A57" s="99"/>
      <c r="B57" s="99"/>
    </row>
    <row r="58" spans="1:10">
      <c r="A58" s="92">
        <f>+D20</f>
        <v>0.14899999999999999</v>
      </c>
      <c r="B58" s="102">
        <v>0</v>
      </c>
    </row>
    <row r="59" spans="1:10">
      <c r="A59" s="92">
        <f>+A58</f>
        <v>0.14899999999999999</v>
      </c>
      <c r="B59" s="102">
        <v>100</v>
      </c>
    </row>
    <row r="60" spans="1:10">
      <c r="A60" s="99"/>
      <c r="B60" s="99"/>
    </row>
    <row r="61" spans="1:10">
      <c r="A61" s="92">
        <f>+D21</f>
        <v>7.3999999999999996E-2</v>
      </c>
      <c r="B61" s="102">
        <v>0</v>
      </c>
    </row>
    <row r="62" spans="1:10">
      <c r="A62" s="92">
        <f>+A61</f>
        <v>7.3999999999999996E-2</v>
      </c>
      <c r="B62" s="102">
        <v>100</v>
      </c>
    </row>
    <row r="64" spans="1:10" s="235" customFormat="1" ht="10.199999999999999">
      <c r="A64" s="1162" t="e">
        <f>+M22</f>
        <v>#REF!</v>
      </c>
      <c r="B64" s="102">
        <v>0</v>
      </c>
      <c r="C64" s="1163"/>
      <c r="D64" s="1163"/>
      <c r="E64" s="1163"/>
      <c r="F64" s="1163"/>
      <c r="G64" s="1163"/>
      <c r="H64" s="1164"/>
      <c r="I64" s="1164"/>
      <c r="J64" s="1164"/>
    </row>
    <row r="65" spans="1:10" s="235" customFormat="1" ht="10.199999999999999">
      <c r="A65" s="1162" t="e">
        <f>+A64</f>
        <v>#REF!</v>
      </c>
      <c r="B65" s="102">
        <v>100</v>
      </c>
      <c r="C65" s="1163"/>
      <c r="D65" s="1163"/>
      <c r="E65" s="1163"/>
      <c r="F65" s="1163"/>
      <c r="G65" s="1163"/>
      <c r="H65" s="1164"/>
      <c r="I65" s="1164"/>
      <c r="J65" s="1164"/>
    </row>
    <row r="66" spans="1:10" s="235" customFormat="1" ht="10.199999999999999">
      <c r="A66" s="1163"/>
      <c r="B66" s="1163"/>
      <c r="C66" s="1163"/>
      <c r="D66" s="1163"/>
      <c r="E66" s="1163"/>
      <c r="F66" s="1163"/>
      <c r="G66" s="1163"/>
      <c r="H66" s="1164"/>
      <c r="I66" s="1164"/>
      <c r="J66" s="1164"/>
    </row>
    <row r="67" spans="1:10" s="235" customFormat="1" ht="10.199999999999999">
      <c r="A67" s="1162" t="e">
        <f>+M23</f>
        <v>#REF!</v>
      </c>
      <c r="B67" s="102">
        <v>0</v>
      </c>
      <c r="C67" s="1163"/>
      <c r="D67" s="1163"/>
      <c r="E67" s="1163"/>
      <c r="F67" s="1163"/>
      <c r="G67" s="1163"/>
      <c r="H67" s="1164"/>
      <c r="I67" s="1164"/>
      <c r="J67" s="1164"/>
    </row>
    <row r="68" spans="1:10" s="235" customFormat="1" ht="10.199999999999999">
      <c r="A68" s="1162" t="e">
        <f>+A67</f>
        <v>#REF!</v>
      </c>
      <c r="B68" s="102">
        <v>100</v>
      </c>
      <c r="C68" s="1163"/>
      <c r="D68" s="1163"/>
      <c r="E68" s="1163"/>
      <c r="F68" s="1163"/>
      <c r="G68" s="1163"/>
      <c r="H68" s="1164"/>
      <c r="I68" s="1164"/>
      <c r="J68" s="1164"/>
    </row>
    <row r="69" spans="1:10" s="235" customFormat="1" ht="10.199999999999999">
      <c r="A69" s="1163"/>
      <c r="B69" s="1163"/>
      <c r="C69" s="1163"/>
      <c r="D69" s="1163"/>
      <c r="E69" s="1163"/>
      <c r="F69" s="1163"/>
      <c r="G69" s="1163"/>
      <c r="H69" s="1164"/>
      <c r="I69" s="1164"/>
      <c r="J69" s="1164"/>
    </row>
    <row r="70" spans="1:10" s="235" customFormat="1" ht="10.199999999999999">
      <c r="A70" s="1162" t="e">
        <f>+M24</f>
        <v>#REF!</v>
      </c>
      <c r="B70" s="102">
        <v>0</v>
      </c>
      <c r="C70" s="1163"/>
      <c r="D70" s="1163"/>
      <c r="E70" s="1163"/>
      <c r="F70" s="1163"/>
      <c r="G70" s="1163"/>
      <c r="H70" s="1164"/>
      <c r="I70" s="1164"/>
      <c r="J70" s="1164"/>
    </row>
    <row r="71" spans="1:10" s="235" customFormat="1" ht="10.199999999999999">
      <c r="A71" s="1162" t="e">
        <f>+A70</f>
        <v>#REF!</v>
      </c>
      <c r="B71" s="102">
        <v>100</v>
      </c>
      <c r="C71" s="1163"/>
      <c r="D71" s="1163"/>
      <c r="E71" s="1163"/>
      <c r="F71" s="1163"/>
      <c r="G71" s="1163"/>
      <c r="H71" s="1164"/>
      <c r="I71" s="1164"/>
      <c r="J71" s="1164"/>
    </row>
    <row r="72" spans="1:10" s="235" customFormat="1" ht="10.199999999999999">
      <c r="A72" s="1163"/>
      <c r="B72" s="1163"/>
      <c r="C72" s="1163"/>
      <c r="D72" s="1163"/>
      <c r="E72" s="1163"/>
      <c r="F72" s="1163"/>
      <c r="G72" s="1163"/>
      <c r="H72" s="1164"/>
      <c r="I72" s="1164"/>
      <c r="J72" s="1164"/>
    </row>
    <row r="73" spans="1:10" s="235" customFormat="1" ht="10.199999999999999">
      <c r="A73" s="1162" t="e">
        <f>+M25</f>
        <v>#REF!</v>
      </c>
      <c r="B73" s="102">
        <v>0</v>
      </c>
      <c r="C73" s="1163"/>
      <c r="D73" s="1163"/>
      <c r="E73" s="1163"/>
      <c r="F73" s="1163"/>
      <c r="G73" s="1163"/>
      <c r="H73" s="1164"/>
      <c r="I73" s="1164"/>
      <c r="J73" s="1164"/>
    </row>
    <row r="74" spans="1:10" s="235" customFormat="1" ht="10.199999999999999">
      <c r="A74" s="1162" t="e">
        <f>+A73</f>
        <v>#REF!</v>
      </c>
      <c r="B74" s="102">
        <v>100</v>
      </c>
      <c r="C74" s="1163"/>
      <c r="D74" s="1163"/>
      <c r="E74" s="1163"/>
      <c r="F74" s="1163"/>
      <c r="G74" s="1163"/>
      <c r="H74" s="1164"/>
      <c r="I74" s="1164"/>
      <c r="J74" s="1164"/>
    </row>
    <row r="75" spans="1:10" s="235" customFormat="1" ht="10.199999999999999">
      <c r="A75" s="1163"/>
      <c r="B75" s="1163"/>
      <c r="C75" s="1163"/>
      <c r="D75" s="1163"/>
      <c r="E75" s="1163"/>
      <c r="F75" s="1163"/>
      <c r="G75" s="1163"/>
      <c r="H75" s="1164"/>
      <c r="I75" s="1164"/>
      <c r="J75" s="1164"/>
    </row>
    <row r="76" spans="1:10" s="235" customFormat="1" ht="10.199999999999999">
      <c r="A76" s="1162" t="e">
        <f>+'Apoyo 2'!M26</f>
        <v>#REF!</v>
      </c>
      <c r="B76" s="102">
        <v>0</v>
      </c>
      <c r="C76" s="1163"/>
      <c r="D76" s="1163"/>
      <c r="E76" s="1163"/>
      <c r="F76" s="1163"/>
      <c r="G76" s="1163"/>
      <c r="H76" s="1164"/>
      <c r="I76" s="1164"/>
      <c r="J76" s="1164"/>
    </row>
    <row r="77" spans="1:10" s="235" customFormat="1" ht="10.199999999999999">
      <c r="A77" s="1162" t="e">
        <f>+A76</f>
        <v>#REF!</v>
      </c>
      <c r="B77" s="102">
        <v>100</v>
      </c>
      <c r="C77" s="1163"/>
      <c r="D77" s="1163"/>
      <c r="E77" s="1163"/>
      <c r="F77" s="1163"/>
      <c r="G77" s="1163"/>
      <c r="H77" s="1164"/>
      <c r="I77" s="1164"/>
      <c r="J77" s="1164"/>
    </row>
    <row r="78" spans="1:10" s="235" customFormat="1" ht="10.199999999999999">
      <c r="A78" s="1163"/>
      <c r="B78" s="1163"/>
      <c r="C78" s="1163"/>
      <c r="D78" s="1163"/>
      <c r="E78" s="1163"/>
      <c r="F78" s="1163"/>
      <c r="G78" s="1163"/>
      <c r="H78" s="1164"/>
      <c r="I78" s="1164"/>
      <c r="J78" s="1164"/>
    </row>
    <row r="79" spans="1:10" s="235" customFormat="1" ht="10.199999999999999">
      <c r="A79" s="1162" t="e">
        <f>+M27</f>
        <v>#REF!</v>
      </c>
      <c r="B79" s="102">
        <v>0</v>
      </c>
      <c r="C79" s="1163"/>
      <c r="D79" s="1163"/>
      <c r="E79" s="1163"/>
      <c r="F79" s="1163"/>
      <c r="G79" s="1163"/>
      <c r="H79" s="1164"/>
      <c r="I79" s="1164"/>
      <c r="J79" s="1164"/>
    </row>
    <row r="80" spans="1:10" s="235" customFormat="1" ht="10.199999999999999">
      <c r="A80" s="1162" t="e">
        <f>+A79</f>
        <v>#REF!</v>
      </c>
      <c r="B80" s="102">
        <v>100</v>
      </c>
      <c r="C80" s="1163"/>
      <c r="D80" s="1163"/>
      <c r="E80" s="1163"/>
      <c r="F80" s="1163"/>
      <c r="G80" s="1163"/>
      <c r="H80" s="1164"/>
      <c r="I80" s="1164"/>
      <c r="J80" s="1164"/>
    </row>
    <row r="81" spans="1:10" s="235" customFormat="1" ht="10.199999999999999">
      <c r="A81" s="1163"/>
      <c r="B81" s="1163"/>
      <c r="C81" s="1163"/>
      <c r="D81" s="1163"/>
      <c r="E81" s="1163"/>
      <c r="F81" s="1163"/>
      <c r="G81" s="1163"/>
      <c r="H81" s="1164"/>
      <c r="I81" s="1164"/>
      <c r="J81" s="1164"/>
    </row>
    <row r="82" spans="1:10" s="235" customFormat="1" ht="10.199999999999999">
      <c r="A82" s="1162" t="e">
        <f>+M28</f>
        <v>#REF!</v>
      </c>
      <c r="B82" s="102">
        <v>0</v>
      </c>
      <c r="C82" s="1163"/>
      <c r="D82" s="1163"/>
      <c r="E82" s="1163"/>
      <c r="F82" s="1163"/>
      <c r="G82" s="1163"/>
      <c r="H82" s="1164"/>
      <c r="I82" s="1164"/>
      <c r="J82" s="1164"/>
    </row>
    <row r="83" spans="1:10" s="235" customFormat="1" ht="10.199999999999999">
      <c r="A83" s="1162" t="e">
        <f>+A82</f>
        <v>#REF!</v>
      </c>
      <c r="B83" s="102">
        <v>100</v>
      </c>
      <c r="C83" s="1163"/>
      <c r="D83" s="1163"/>
      <c r="E83" s="1163"/>
      <c r="F83" s="1163"/>
      <c r="G83" s="1163"/>
      <c r="H83" s="1164"/>
      <c r="I83" s="1164"/>
      <c r="J83" s="1164"/>
    </row>
    <row r="84" spans="1:10" s="235" customFormat="1" ht="10.199999999999999">
      <c r="A84" s="1163"/>
      <c r="B84" s="1163"/>
      <c r="C84" s="1163"/>
      <c r="D84" s="1163"/>
      <c r="E84" s="1163"/>
      <c r="F84" s="1163"/>
      <c r="G84" s="1163"/>
      <c r="H84" s="1164"/>
      <c r="I84" s="1164"/>
      <c r="J84" s="1164"/>
    </row>
    <row r="85" spans="1:10" s="235" customFormat="1" ht="10.199999999999999">
      <c r="A85" s="1162" t="e">
        <f>+M29</f>
        <v>#REF!</v>
      </c>
      <c r="B85" s="102">
        <v>0</v>
      </c>
      <c r="C85" s="1163"/>
      <c r="D85" s="1163"/>
      <c r="E85" s="1163"/>
      <c r="F85" s="1163"/>
      <c r="G85" s="1163"/>
      <c r="H85" s="1164"/>
      <c r="I85" s="1164"/>
      <c r="J85" s="1164"/>
    </row>
    <row r="86" spans="1:10" s="235" customFormat="1" ht="10.199999999999999">
      <c r="A86" s="1162" t="e">
        <f>+A85</f>
        <v>#REF!</v>
      </c>
      <c r="B86" s="102">
        <v>100</v>
      </c>
      <c r="C86" s="1163"/>
      <c r="D86" s="1163"/>
      <c r="E86" s="1163"/>
      <c r="F86" s="1163"/>
      <c r="G86" s="1163"/>
      <c r="H86" s="1164"/>
      <c r="I86" s="1164"/>
      <c r="J86" s="1164"/>
    </row>
    <row r="87" spans="1:10" s="235" customFormat="1" ht="10.199999999999999">
      <c r="A87" s="1163"/>
      <c r="B87" s="1163"/>
      <c r="C87" s="1163"/>
      <c r="D87" s="1163"/>
      <c r="E87" s="1163"/>
      <c r="F87" s="1163"/>
      <c r="G87" s="1163"/>
      <c r="H87" s="1164"/>
      <c r="I87" s="1164"/>
      <c r="J87" s="1164"/>
    </row>
    <row r="88" spans="1:10" s="235" customFormat="1" ht="10.199999999999999">
      <c r="A88" s="1162" t="e">
        <f>+M30</f>
        <v>#REF!</v>
      </c>
      <c r="B88" s="102">
        <v>0</v>
      </c>
      <c r="C88" s="1163"/>
      <c r="D88" s="1163"/>
      <c r="E88" s="1163"/>
      <c r="F88" s="1163"/>
      <c r="G88" s="1163"/>
      <c r="H88" s="1164"/>
      <c r="I88" s="1164"/>
      <c r="J88" s="1164"/>
    </row>
    <row r="89" spans="1:10" s="235" customFormat="1" ht="10.199999999999999">
      <c r="A89" s="1162" t="e">
        <f>+A88</f>
        <v>#REF!</v>
      </c>
      <c r="B89" s="102">
        <v>100</v>
      </c>
      <c r="C89" s="1163"/>
      <c r="D89" s="1163"/>
      <c r="E89" s="1163"/>
      <c r="F89" s="1163"/>
      <c r="G89" s="1163"/>
      <c r="H89" s="1164"/>
      <c r="I89" s="1164"/>
      <c r="J89" s="1164"/>
    </row>
    <row r="90" spans="1:10" s="235" customFormat="1" ht="10.199999999999999">
      <c r="A90" s="1163"/>
      <c r="B90" s="1163"/>
      <c r="C90" s="1163"/>
      <c r="D90" s="1163"/>
      <c r="E90" s="1163"/>
      <c r="F90" s="1163"/>
      <c r="G90" s="1163"/>
      <c r="H90" s="1164"/>
      <c r="I90" s="1164"/>
      <c r="J90" s="1164"/>
    </row>
    <row r="91" spans="1:10" s="235" customFormat="1" ht="10.199999999999999">
      <c r="A91" s="1163"/>
      <c r="B91" s="1163"/>
      <c r="C91" s="1163"/>
      <c r="D91" s="1163"/>
      <c r="E91" s="1163"/>
      <c r="F91" s="1163"/>
      <c r="G91" s="1163"/>
      <c r="H91" s="1164"/>
      <c r="I91" s="1164"/>
      <c r="J91" s="1164"/>
    </row>
    <row r="92" spans="1:10" s="235" customFormat="1" ht="10.199999999999999">
      <c r="A92" s="1163"/>
      <c r="B92" s="1163"/>
      <c r="C92" s="1163"/>
      <c r="D92" s="1163"/>
      <c r="E92" s="1163"/>
      <c r="F92" s="1163"/>
      <c r="G92" s="1163"/>
      <c r="H92" s="1164"/>
      <c r="I92" s="1164"/>
      <c r="J92" s="1164"/>
    </row>
    <row r="93" spans="1:10" s="235" customFormat="1" ht="10.199999999999999">
      <c r="A93" s="1163"/>
      <c r="B93" s="1163"/>
      <c r="C93" s="1163"/>
      <c r="D93" s="1163"/>
      <c r="E93" s="1163"/>
      <c r="F93" s="1163"/>
      <c r="G93" s="1163"/>
      <c r="H93" s="1164"/>
      <c r="I93" s="1164"/>
      <c r="J93" s="1164"/>
    </row>
    <row r="94" spans="1:10" s="235" customFormat="1" ht="10.199999999999999">
      <c r="A94" s="1163"/>
      <c r="B94" s="1163"/>
      <c r="C94" s="1163"/>
      <c r="D94" s="1163"/>
      <c r="E94" s="1163"/>
      <c r="F94" s="1163"/>
      <c r="G94" s="1163"/>
      <c r="H94" s="1164"/>
      <c r="I94" s="1164"/>
      <c r="J94" s="1164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/>
  <cols>
    <col min="1" max="3" width="6.6640625" customWidth="1"/>
    <col min="4" max="15" width="9.33203125" customWidth="1"/>
    <col min="16" max="23" width="9.33203125" style="239" customWidth="1"/>
  </cols>
  <sheetData>
    <row r="1" spans="1:23" s="237" customFormat="1" ht="11.4" customHeight="1" thickTop="1">
      <c r="A1" s="1685" t="s">
        <v>485</v>
      </c>
      <c r="B1" s="1686"/>
      <c r="C1" s="1686"/>
      <c r="D1" s="1687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62"/>
      <c r="Q1" s="262"/>
      <c r="R1" s="262"/>
      <c r="S1" s="262"/>
      <c r="T1" s="262"/>
      <c r="U1" s="262"/>
      <c r="V1" s="262"/>
      <c r="W1" s="262"/>
    </row>
    <row r="2" spans="1:23" s="237" customFormat="1" ht="11.4" customHeight="1">
      <c r="A2" s="1688"/>
      <c r="B2" s="1689"/>
      <c r="C2" s="1689"/>
      <c r="D2" s="1690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62"/>
      <c r="Q2" s="262"/>
      <c r="R2" s="262"/>
      <c r="S2" s="262"/>
      <c r="T2" s="262"/>
      <c r="U2" s="262"/>
      <c r="V2" s="262"/>
      <c r="W2" s="262"/>
    </row>
    <row r="3" spans="1:23" s="237" customFormat="1" ht="11.4" customHeight="1">
      <c r="A3" s="1688"/>
      <c r="B3" s="1689"/>
      <c r="C3" s="1689"/>
      <c r="D3" s="1690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62"/>
      <c r="Q3" s="262"/>
      <c r="R3" s="262"/>
      <c r="S3" s="262"/>
      <c r="T3" s="262"/>
      <c r="U3" s="262"/>
      <c r="V3" s="262"/>
      <c r="W3" s="262"/>
    </row>
    <row r="4" spans="1:23" s="237" customFormat="1" ht="11.4" customHeight="1" thickBot="1">
      <c r="A4" s="1691"/>
      <c r="B4" s="1692"/>
      <c r="C4" s="1692"/>
      <c r="D4" s="1693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62"/>
      <c r="Q4" s="262"/>
      <c r="R4" s="262"/>
      <c r="S4" s="262"/>
      <c r="T4" s="262"/>
      <c r="U4" s="262"/>
      <c r="V4" s="262"/>
      <c r="W4" s="262"/>
    </row>
    <row r="5" spans="1:23" s="237" customFormat="1" ht="11.4" customHeight="1" thickTop="1">
      <c r="A5" s="1698"/>
      <c r="B5" s="1698"/>
      <c r="C5" s="1698"/>
      <c r="D5" s="1698"/>
      <c r="E5" s="1698"/>
      <c r="F5" s="1698"/>
      <c r="G5" s="1698"/>
      <c r="H5" s="1698"/>
      <c r="I5" s="1698"/>
      <c r="J5" s="1698"/>
      <c r="K5" s="1698"/>
      <c r="L5" s="1698"/>
      <c r="M5" s="1698"/>
      <c r="N5" s="1698"/>
      <c r="O5" s="1698"/>
      <c r="P5" s="244"/>
      <c r="Q5" s="244"/>
      <c r="R5" s="262"/>
      <c r="S5" s="262"/>
      <c r="T5" s="262"/>
      <c r="U5" s="262"/>
      <c r="V5" s="262"/>
      <c r="W5" s="262"/>
    </row>
    <row r="6" spans="1:23" s="237" customFormat="1" ht="18.600000000000001" customHeight="1">
      <c r="A6" s="1700" t="s">
        <v>486</v>
      </c>
      <c r="B6" s="1701"/>
      <c r="C6" s="1701"/>
      <c r="D6" s="1701"/>
      <c r="E6" s="1701"/>
      <c r="F6" s="1701"/>
      <c r="G6" s="1701"/>
      <c r="H6" s="1701"/>
      <c r="I6" s="1701"/>
      <c r="J6" s="1701"/>
      <c r="K6" s="1701"/>
      <c r="L6" s="1701"/>
      <c r="M6" s="1701"/>
      <c r="N6" s="1701"/>
      <c r="O6" s="1701"/>
      <c r="P6" s="262"/>
      <c r="Q6" s="262"/>
      <c r="R6" s="262"/>
      <c r="S6" s="262"/>
      <c r="T6" s="262"/>
      <c r="U6" s="262"/>
      <c r="V6" s="262"/>
      <c r="W6" s="262"/>
    </row>
    <row r="7" spans="1:23" s="237" customFormat="1" ht="3.6" customHeight="1" thickBot="1">
      <c r="A7" s="246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62"/>
      <c r="Q7" s="262"/>
      <c r="R7" s="262"/>
      <c r="S7" s="262"/>
      <c r="T7" s="262"/>
      <c r="U7" s="262"/>
      <c r="V7" s="262"/>
      <c r="W7" s="262"/>
    </row>
    <row r="8" spans="1:23" s="237" customFormat="1" ht="13.5" customHeight="1" thickTop="1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62"/>
      <c r="Q8" s="262"/>
      <c r="R8" s="262"/>
      <c r="S8" s="262"/>
      <c r="T8" s="262"/>
      <c r="U8" s="262"/>
      <c r="V8" s="262"/>
      <c r="W8" s="262"/>
    </row>
    <row r="9" spans="1:23" ht="13.8">
      <c r="A9" s="228" t="s">
        <v>487</v>
      </c>
      <c r="B9" s="136"/>
      <c r="C9" s="137" t="s">
        <v>3</v>
      </c>
      <c r="D9" s="229" t="e">
        <f>#REF!</f>
        <v>#REF!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1:23" s="238" customFormat="1" ht="13.8">
      <c r="A10" s="228" t="s">
        <v>344</v>
      </c>
      <c r="B10" s="213"/>
      <c r="C10" s="137" t="s">
        <v>3</v>
      </c>
      <c r="D10" s="229" t="e">
        <f>#REF!</f>
        <v>#REF!</v>
      </c>
      <c r="E10" s="214"/>
      <c r="F10" s="214"/>
      <c r="G10" s="214"/>
      <c r="H10" s="212"/>
      <c r="I10" s="214"/>
      <c r="J10" s="212"/>
      <c r="K10" s="248"/>
      <c r="L10" s="249"/>
      <c r="M10" s="212"/>
      <c r="N10" s="214"/>
      <c r="O10" s="214"/>
      <c r="P10" s="263"/>
      <c r="Q10" s="263"/>
      <c r="R10" s="263"/>
      <c r="S10" s="263"/>
      <c r="T10" s="263"/>
      <c r="U10" s="263"/>
      <c r="V10" s="263"/>
      <c r="W10" s="263"/>
    </row>
    <row r="11" spans="1:23" s="238" customFormat="1" ht="13.8">
      <c r="A11" s="228" t="s">
        <v>488</v>
      </c>
      <c r="B11" s="213"/>
      <c r="C11" s="137" t="s">
        <v>3</v>
      </c>
      <c r="D11" s="229" t="e">
        <f>#REF!</f>
        <v>#REF!</v>
      </c>
      <c r="E11" s="214"/>
      <c r="F11" s="214"/>
      <c r="G11" s="214"/>
      <c r="H11" s="212"/>
      <c r="I11" s="214"/>
      <c r="J11" s="212"/>
      <c r="K11" s="248"/>
      <c r="L11" s="249"/>
      <c r="M11" s="250"/>
      <c r="N11" s="214"/>
      <c r="O11" s="214"/>
      <c r="P11" s="263"/>
      <c r="Q11" s="263"/>
      <c r="R11" s="263"/>
      <c r="S11" s="263"/>
      <c r="T11" s="263"/>
      <c r="U11" s="263"/>
      <c r="V11" s="263"/>
      <c r="W11" s="263"/>
    </row>
    <row r="12" spans="1:23" s="238" customFormat="1" ht="13.8">
      <c r="A12" s="212" t="s">
        <v>149</v>
      </c>
      <c r="B12" s="213"/>
      <c r="C12" s="137" t="s">
        <v>3</v>
      </c>
      <c r="D12" s="1702" t="e">
        <f>#REF!</f>
        <v>#REF!</v>
      </c>
      <c r="E12" s="1702"/>
      <c r="F12" s="214"/>
      <c r="G12" s="214"/>
      <c r="H12" s="212"/>
      <c r="I12" s="214"/>
      <c r="J12" s="212"/>
      <c r="K12" s="248"/>
      <c r="L12" s="249"/>
      <c r="M12" s="1699"/>
      <c r="N12" s="1699"/>
      <c r="O12" s="214"/>
      <c r="P12" s="263"/>
      <c r="Q12" s="263"/>
      <c r="R12" s="263"/>
      <c r="S12" s="263"/>
      <c r="T12" s="263"/>
      <c r="U12" s="263"/>
      <c r="V12" s="263"/>
      <c r="W12" s="263"/>
    </row>
    <row r="13" spans="1:23" s="238" customFormat="1" ht="13.8">
      <c r="A13" s="212"/>
      <c r="B13" s="214"/>
      <c r="C13" s="214"/>
      <c r="D13" s="214"/>
      <c r="E13" s="214"/>
      <c r="F13" s="214"/>
      <c r="G13" s="214"/>
      <c r="H13" s="212"/>
      <c r="I13" s="214"/>
      <c r="J13" s="212"/>
      <c r="K13" s="214"/>
      <c r="L13" s="214"/>
      <c r="M13" s="214"/>
      <c r="N13" s="214"/>
      <c r="O13" s="214"/>
      <c r="P13" s="263"/>
      <c r="Q13" s="263"/>
      <c r="R13" s="263"/>
      <c r="S13" s="263"/>
      <c r="T13" s="263"/>
      <c r="U13" s="263"/>
      <c r="V13" s="263"/>
      <c r="W13" s="263"/>
    </row>
    <row r="14" spans="1:23" s="238" customFormat="1" ht="13.8">
      <c r="A14" s="212" t="s">
        <v>489</v>
      </c>
      <c r="B14" s="214"/>
      <c r="C14" s="214"/>
      <c r="D14" s="212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63"/>
      <c r="Q14" s="263"/>
      <c r="R14" s="263"/>
      <c r="S14" s="263"/>
      <c r="T14" s="263"/>
      <c r="U14" s="263"/>
      <c r="V14" s="263"/>
      <c r="W14" s="263"/>
    </row>
    <row r="15" spans="1:23" s="238" customFormat="1" ht="13.8">
      <c r="A15" s="1696" t="s">
        <v>490</v>
      </c>
      <c r="B15" s="1696" t="s">
        <v>491</v>
      </c>
      <c r="C15" s="1694" t="s">
        <v>492</v>
      </c>
      <c r="D15" s="1694" t="s">
        <v>493</v>
      </c>
      <c r="E15" s="1694" t="s">
        <v>494</v>
      </c>
      <c r="F15" s="1694" t="s">
        <v>495</v>
      </c>
      <c r="G15" s="1694" t="s">
        <v>496</v>
      </c>
      <c r="H15" s="1694" t="s">
        <v>96</v>
      </c>
      <c r="I15" s="1694" t="s">
        <v>497</v>
      </c>
      <c r="J15" s="1165" t="s">
        <v>498</v>
      </c>
      <c r="K15" s="1694" t="s">
        <v>499</v>
      </c>
      <c r="L15" s="1694" t="s">
        <v>500</v>
      </c>
      <c r="M15" s="1694" t="s">
        <v>501</v>
      </c>
      <c r="N15" s="1697" t="s">
        <v>502</v>
      </c>
      <c r="O15" s="1697" t="s">
        <v>503</v>
      </c>
      <c r="P15" s="1705" t="s">
        <v>504</v>
      </c>
      <c r="Q15" s="1703" t="s">
        <v>505</v>
      </c>
      <c r="R15" s="1703" t="s">
        <v>506</v>
      </c>
      <c r="S15" s="1703" t="s">
        <v>507</v>
      </c>
      <c r="T15" s="1703" t="s">
        <v>508</v>
      </c>
      <c r="U15" s="1703" t="s">
        <v>509</v>
      </c>
      <c r="V15" s="1703" t="s">
        <v>510</v>
      </c>
      <c r="W15" s="1707" t="s">
        <v>511</v>
      </c>
    </row>
    <row r="16" spans="1:23" s="238" customFormat="1" ht="13.8">
      <c r="A16" s="1696"/>
      <c r="B16" s="1696"/>
      <c r="C16" s="1694"/>
      <c r="D16" s="1694"/>
      <c r="E16" s="1694"/>
      <c r="F16" s="1694"/>
      <c r="G16" s="1694"/>
      <c r="H16" s="1694"/>
      <c r="I16" s="1694"/>
      <c r="J16" s="251" t="s">
        <v>512</v>
      </c>
      <c r="K16" s="1694"/>
      <c r="L16" s="1694"/>
      <c r="M16" s="1694"/>
      <c r="N16" s="1697"/>
      <c r="O16" s="1697"/>
      <c r="P16" s="1706"/>
      <c r="Q16" s="1704"/>
      <c r="R16" s="1704"/>
      <c r="S16" s="1704"/>
      <c r="T16" s="1704"/>
      <c r="U16" s="1704"/>
      <c r="V16" s="1704"/>
      <c r="W16" s="1708"/>
    </row>
    <row r="17" spans="1:23" s="240" customFormat="1" ht="13.8">
      <c r="A17" s="252">
        <v>1</v>
      </c>
      <c r="B17" s="256">
        <v>24</v>
      </c>
      <c r="C17" s="256">
        <v>17.5</v>
      </c>
      <c r="D17" s="257">
        <v>0.5</v>
      </c>
      <c r="E17" s="258">
        <v>1.0199</v>
      </c>
      <c r="F17" s="253">
        <f t="shared" ref="F17:F25" si="0">+E17-D17+C17</f>
        <v>18.0199</v>
      </c>
      <c r="G17" s="254">
        <f t="shared" ref="G17:G25" si="1">+F17*$D$31/$D$28*100</f>
        <v>17.978936359371932</v>
      </c>
      <c r="H17" s="255">
        <f t="shared" ref="H17:H25" si="2">+$D$29/100</f>
        <v>2.0329732233391126E-2</v>
      </c>
      <c r="I17" s="254">
        <f t="shared" ref="I17:I25" si="3">+H17*G17</f>
        <v>0.36550696202721128</v>
      </c>
      <c r="J17" s="254">
        <v>7.8E-2</v>
      </c>
      <c r="K17" s="254">
        <f t="shared" ref="K17:K25" si="4">+(253.85-F17)/461.54</f>
        <v>0.51096351345495505</v>
      </c>
      <c r="L17" s="253">
        <f t="shared" ref="L17:L25" si="5">+($D$31-T17)*(W17-V17)/(U17-T17)+V17</f>
        <v>0.99683526846276038</v>
      </c>
      <c r="M17" s="253">
        <f t="shared" ref="M17:M25" si="6">+(B17-P17)*(S17-R17)/(Q17-P17)+R17</f>
        <v>0.94761999999999991</v>
      </c>
      <c r="N17" s="253">
        <f t="shared" ref="N17:N25" si="7">+M17*L17*K17*J17</f>
        <v>3.7648016952033334E-2</v>
      </c>
      <c r="O17" s="255">
        <f>+$D$30-I17</f>
        <v>-0.36550696202721128</v>
      </c>
      <c r="P17" s="1166">
        <v>23.9</v>
      </c>
      <c r="Q17" s="1167">
        <v>24.4</v>
      </c>
      <c r="R17" s="1167">
        <v>0.94889999999999997</v>
      </c>
      <c r="S17" s="1167">
        <v>0.9425</v>
      </c>
      <c r="T17" s="1168">
        <v>0.99329999999999996</v>
      </c>
      <c r="U17" s="1168">
        <v>0.9889</v>
      </c>
      <c r="V17" s="1169">
        <v>0.99099999999999999</v>
      </c>
      <c r="W17" s="1170">
        <v>0.98519999999999996</v>
      </c>
    </row>
    <row r="18" spans="1:23" s="240" customFormat="1" ht="13.8">
      <c r="A18" s="252">
        <v>2</v>
      </c>
      <c r="B18" s="256">
        <v>24</v>
      </c>
      <c r="C18" s="256">
        <v>16.5</v>
      </c>
      <c r="D18" s="257">
        <v>0.5</v>
      </c>
      <c r="E18" s="258">
        <v>1.0199</v>
      </c>
      <c r="F18" s="253">
        <f t="shared" si="0"/>
        <v>17.0199</v>
      </c>
      <c r="G18" s="254">
        <f t="shared" si="1"/>
        <v>16.98120960398639</v>
      </c>
      <c r="H18" s="255">
        <f t="shared" si="2"/>
        <v>2.0329732233391126E-2</v>
      </c>
      <c r="I18" s="254">
        <f t="shared" si="3"/>
        <v>0.34522344424813306</v>
      </c>
      <c r="J18" s="254">
        <v>5.5E-2</v>
      </c>
      <c r="K18" s="254">
        <f t="shared" si="4"/>
        <v>0.51313017289942364</v>
      </c>
      <c r="L18" s="253">
        <f t="shared" si="5"/>
        <v>0.99683526846276038</v>
      </c>
      <c r="M18" s="253">
        <f t="shared" si="6"/>
        <v>0.94761999999999991</v>
      </c>
      <c r="N18" s="253">
        <f t="shared" si="7"/>
        <v>2.6659245585054787E-2</v>
      </c>
      <c r="O18" s="255">
        <f t="shared" ref="O18:O25" si="8">+I17-I18</f>
        <v>2.028351777907822E-2</v>
      </c>
      <c r="P18" s="265">
        <v>23.9</v>
      </c>
      <c r="Q18" s="266">
        <v>24.4</v>
      </c>
      <c r="R18" s="266">
        <v>0.94889999999999997</v>
      </c>
      <c r="S18" s="266">
        <v>0.9425</v>
      </c>
      <c r="T18" s="267">
        <f t="shared" ref="T18:W25" si="9">+T17</f>
        <v>0.99329999999999996</v>
      </c>
      <c r="U18" s="267">
        <f t="shared" si="9"/>
        <v>0.9889</v>
      </c>
      <c r="V18" s="267">
        <f t="shared" si="9"/>
        <v>0.99099999999999999</v>
      </c>
      <c r="W18" s="268">
        <f t="shared" si="9"/>
        <v>0.98519999999999996</v>
      </c>
    </row>
    <row r="19" spans="1:23" s="240" customFormat="1" ht="13.8">
      <c r="A19" s="252">
        <v>5</v>
      </c>
      <c r="B19" s="256">
        <v>24</v>
      </c>
      <c r="C19" s="256">
        <v>14.5</v>
      </c>
      <c r="D19" s="257">
        <v>0.5</v>
      </c>
      <c r="E19" s="258">
        <v>1.0199</v>
      </c>
      <c r="F19" s="253">
        <f t="shared" si="0"/>
        <v>15.0199</v>
      </c>
      <c r="G19" s="254">
        <f t="shared" si="1"/>
        <v>14.985756093215304</v>
      </c>
      <c r="H19" s="255">
        <f t="shared" si="2"/>
        <v>2.0329732233391126E-2</v>
      </c>
      <c r="I19" s="254">
        <f t="shared" si="3"/>
        <v>0.30465640868997662</v>
      </c>
      <c r="J19" s="254">
        <v>3.5000000000000003E-2</v>
      </c>
      <c r="K19" s="254">
        <f t="shared" si="4"/>
        <v>0.51746349178836071</v>
      </c>
      <c r="L19" s="253">
        <f t="shared" si="5"/>
        <v>0.99683526846276038</v>
      </c>
      <c r="M19" s="253">
        <f t="shared" si="6"/>
        <v>0.94783333333333331</v>
      </c>
      <c r="N19" s="253">
        <f t="shared" si="7"/>
        <v>1.7112093009365517E-2</v>
      </c>
      <c r="O19" s="255">
        <f t="shared" si="8"/>
        <v>4.0567035558156439E-2</v>
      </c>
      <c r="P19" s="265">
        <v>23.3</v>
      </c>
      <c r="Q19" s="266">
        <v>23.9</v>
      </c>
      <c r="R19" s="266">
        <v>0.95530000000000004</v>
      </c>
      <c r="S19" s="266">
        <v>0.94889999999999997</v>
      </c>
      <c r="T19" s="267">
        <f t="shared" si="9"/>
        <v>0.99329999999999996</v>
      </c>
      <c r="U19" s="267">
        <f t="shared" si="9"/>
        <v>0.9889</v>
      </c>
      <c r="V19" s="267">
        <f t="shared" si="9"/>
        <v>0.99099999999999999</v>
      </c>
      <c r="W19" s="268">
        <f t="shared" si="9"/>
        <v>0.98519999999999996</v>
      </c>
    </row>
    <row r="20" spans="1:23" s="240" customFormat="1" ht="13.8">
      <c r="A20" s="252">
        <v>10</v>
      </c>
      <c r="B20" s="256">
        <v>24</v>
      </c>
      <c r="C20" s="256">
        <v>13</v>
      </c>
      <c r="D20" s="257">
        <v>0.5</v>
      </c>
      <c r="E20" s="258">
        <v>1.0199</v>
      </c>
      <c r="F20" s="253">
        <f t="shared" si="0"/>
        <v>13.5199</v>
      </c>
      <c r="G20" s="254">
        <f t="shared" si="1"/>
        <v>13.489165960136992</v>
      </c>
      <c r="H20" s="255">
        <f t="shared" si="2"/>
        <v>2.0329732233391126E-2</v>
      </c>
      <c r="I20" s="254">
        <f t="shared" si="3"/>
        <v>0.27423113202135935</v>
      </c>
      <c r="J20" s="230">
        <f>(J19+J21)/2</f>
        <v>2.7500000000000004E-2</v>
      </c>
      <c r="K20" s="254">
        <f t="shared" si="4"/>
        <v>0.52071348095506342</v>
      </c>
      <c r="L20" s="253">
        <f t="shared" si="5"/>
        <v>0.99683526846276038</v>
      </c>
      <c r="M20" s="253">
        <f t="shared" si="6"/>
        <v>0.94783333333333331</v>
      </c>
      <c r="N20" s="253">
        <f t="shared" si="7"/>
        <v>1.3529660165965941E-2</v>
      </c>
      <c r="O20" s="255">
        <f t="shared" si="8"/>
        <v>3.0425276668617274E-2</v>
      </c>
      <c r="P20" s="265">
        <v>23.3</v>
      </c>
      <c r="Q20" s="266">
        <v>23.9</v>
      </c>
      <c r="R20" s="266">
        <v>0.95530000000000004</v>
      </c>
      <c r="S20" s="266">
        <v>0.94889999999999997</v>
      </c>
      <c r="T20" s="267">
        <f t="shared" si="9"/>
        <v>0.99329999999999996</v>
      </c>
      <c r="U20" s="267">
        <f t="shared" si="9"/>
        <v>0.9889</v>
      </c>
      <c r="V20" s="267">
        <f t="shared" si="9"/>
        <v>0.99099999999999999</v>
      </c>
      <c r="W20" s="268">
        <f t="shared" si="9"/>
        <v>0.98519999999999996</v>
      </c>
    </row>
    <row r="21" spans="1:23" s="240" customFormat="1" ht="13.8">
      <c r="A21" s="252">
        <v>15</v>
      </c>
      <c r="B21" s="256">
        <v>24</v>
      </c>
      <c r="C21" s="256">
        <v>13</v>
      </c>
      <c r="D21" s="257">
        <v>0.5</v>
      </c>
      <c r="E21" s="258">
        <v>1.0199</v>
      </c>
      <c r="F21" s="253">
        <f t="shared" si="0"/>
        <v>13.5199</v>
      </c>
      <c r="G21" s="254">
        <f t="shared" si="1"/>
        <v>13.489165960136992</v>
      </c>
      <c r="H21" s="255">
        <f t="shared" si="2"/>
        <v>2.0329732233391126E-2</v>
      </c>
      <c r="I21" s="254">
        <f t="shared" si="3"/>
        <v>0.27423113202135935</v>
      </c>
      <c r="J21" s="254">
        <v>0.02</v>
      </c>
      <c r="K21" s="254">
        <f t="shared" si="4"/>
        <v>0.52071348095506342</v>
      </c>
      <c r="L21" s="253">
        <f t="shared" si="5"/>
        <v>0.99683526846276038</v>
      </c>
      <c r="M21" s="253">
        <f t="shared" si="6"/>
        <v>0.9464800000000001</v>
      </c>
      <c r="N21" s="253">
        <f t="shared" si="7"/>
        <v>9.8257034734147309E-3</v>
      </c>
      <c r="O21" s="255">
        <f t="shared" si="8"/>
        <v>0</v>
      </c>
      <c r="P21" s="265">
        <v>22.8</v>
      </c>
      <c r="Q21" s="266">
        <v>23.3</v>
      </c>
      <c r="R21" s="266">
        <v>0.96160000000000001</v>
      </c>
      <c r="S21" s="266">
        <v>0.95530000000000004</v>
      </c>
      <c r="T21" s="267">
        <f t="shared" si="9"/>
        <v>0.99329999999999996</v>
      </c>
      <c r="U21" s="267">
        <f t="shared" si="9"/>
        <v>0.9889</v>
      </c>
      <c r="V21" s="267">
        <f t="shared" si="9"/>
        <v>0.99099999999999999</v>
      </c>
      <c r="W21" s="268">
        <f t="shared" si="9"/>
        <v>0.98519999999999996</v>
      </c>
    </row>
    <row r="22" spans="1:23" s="240" customFormat="1" ht="13.8">
      <c r="A22" s="252">
        <v>30</v>
      </c>
      <c r="B22" s="256">
        <v>24.5</v>
      </c>
      <c r="C22" s="256">
        <v>12</v>
      </c>
      <c r="D22" s="257">
        <v>0.5</v>
      </c>
      <c r="E22" s="258">
        <v>1.1398999999999999</v>
      </c>
      <c r="F22" s="253">
        <f t="shared" si="0"/>
        <v>12.639900000000001</v>
      </c>
      <c r="G22" s="254">
        <f t="shared" si="1"/>
        <v>12.611166415397715</v>
      </c>
      <c r="H22" s="255">
        <f t="shared" si="2"/>
        <v>2.0329732233391126E-2</v>
      </c>
      <c r="I22" s="254">
        <f t="shared" si="3"/>
        <v>0.25638163637577055</v>
      </c>
      <c r="J22" s="254">
        <v>1.4E-2</v>
      </c>
      <c r="K22" s="254">
        <f t="shared" si="4"/>
        <v>0.52262014126619571</v>
      </c>
      <c r="L22" s="253">
        <f t="shared" si="5"/>
        <v>0.99683526846276038</v>
      </c>
      <c r="M22" s="253">
        <f t="shared" si="6"/>
        <v>0.94018000000000013</v>
      </c>
      <c r="N22" s="253">
        <f t="shared" si="7"/>
        <v>6.8572278797082789E-3</v>
      </c>
      <c r="O22" s="255">
        <f t="shared" si="8"/>
        <v>1.7849495645588798E-2</v>
      </c>
      <c r="P22" s="265">
        <v>22.8</v>
      </c>
      <c r="Q22" s="266">
        <v>23.3</v>
      </c>
      <c r="R22" s="266">
        <v>0.96160000000000001</v>
      </c>
      <c r="S22" s="266">
        <v>0.95530000000000004</v>
      </c>
      <c r="T22" s="267">
        <f t="shared" si="9"/>
        <v>0.99329999999999996</v>
      </c>
      <c r="U22" s="267">
        <f t="shared" si="9"/>
        <v>0.9889</v>
      </c>
      <c r="V22" s="267">
        <f t="shared" si="9"/>
        <v>0.99099999999999999</v>
      </c>
      <c r="W22" s="268">
        <f t="shared" si="9"/>
        <v>0.98519999999999996</v>
      </c>
    </row>
    <row r="23" spans="1:23" s="240" customFormat="1" ht="13.8">
      <c r="A23" s="252">
        <v>60</v>
      </c>
      <c r="B23" s="256">
        <v>24.5</v>
      </c>
      <c r="C23" s="256">
        <v>11.5</v>
      </c>
      <c r="D23" s="257">
        <v>0.5</v>
      </c>
      <c r="E23" s="258">
        <v>1.1398999999999999</v>
      </c>
      <c r="F23" s="253">
        <f t="shared" si="0"/>
        <v>12.139900000000001</v>
      </c>
      <c r="G23" s="254">
        <f t="shared" si="1"/>
        <v>12.112303037704946</v>
      </c>
      <c r="H23" s="255">
        <f t="shared" si="2"/>
        <v>2.0329732233391126E-2</v>
      </c>
      <c r="I23" s="254">
        <f t="shared" si="3"/>
        <v>0.24623987748623147</v>
      </c>
      <c r="J23" s="254">
        <v>0.01</v>
      </c>
      <c r="K23" s="254">
        <f t="shared" si="4"/>
        <v>0.52370347098842995</v>
      </c>
      <c r="L23" s="253">
        <f t="shared" si="5"/>
        <v>0.99683526846276038</v>
      </c>
      <c r="M23" s="253">
        <f t="shared" si="6"/>
        <v>0.9393800000000001</v>
      </c>
      <c r="N23" s="253">
        <f t="shared" si="7"/>
        <v>4.9039965611591269E-3</v>
      </c>
      <c r="O23" s="255">
        <f t="shared" si="8"/>
        <v>1.0141758889539082E-2</v>
      </c>
      <c r="P23" s="265">
        <v>21.7</v>
      </c>
      <c r="Q23" s="266">
        <v>22.2</v>
      </c>
      <c r="R23" s="266">
        <v>0.97409999999999997</v>
      </c>
      <c r="S23" s="266">
        <v>0.96789999999999998</v>
      </c>
      <c r="T23" s="267">
        <f t="shared" si="9"/>
        <v>0.99329999999999996</v>
      </c>
      <c r="U23" s="267">
        <f t="shared" si="9"/>
        <v>0.9889</v>
      </c>
      <c r="V23" s="267">
        <f t="shared" si="9"/>
        <v>0.99099999999999999</v>
      </c>
      <c r="W23" s="268">
        <f t="shared" si="9"/>
        <v>0.98519999999999996</v>
      </c>
    </row>
    <row r="24" spans="1:23" s="240" customFormat="1" ht="13.8">
      <c r="A24" s="252">
        <v>240</v>
      </c>
      <c r="B24" s="256">
        <v>24</v>
      </c>
      <c r="C24" s="256">
        <v>9.5</v>
      </c>
      <c r="D24" s="257">
        <v>0.5</v>
      </c>
      <c r="E24" s="258">
        <v>1.0199</v>
      </c>
      <c r="F24" s="253">
        <f t="shared" si="0"/>
        <v>10.0199</v>
      </c>
      <c r="G24" s="254">
        <f t="shared" si="1"/>
        <v>9.9971223162875944</v>
      </c>
      <c r="H24" s="255">
        <f t="shared" si="2"/>
        <v>2.0329732233391126E-2</v>
      </c>
      <c r="I24" s="254">
        <f>+H24*G24</f>
        <v>0.20323881979458566</v>
      </c>
      <c r="J24" s="254">
        <v>5.0000000000000001E-3</v>
      </c>
      <c r="K24" s="254">
        <f t="shared" si="4"/>
        <v>0.5282967890107032</v>
      </c>
      <c r="L24" s="253">
        <f t="shared" si="5"/>
        <v>0.99683526846276038</v>
      </c>
      <c r="M24" s="253">
        <f t="shared" si="6"/>
        <v>0.94558000000000009</v>
      </c>
      <c r="N24" s="253">
        <f t="shared" si="7"/>
        <v>2.4898297299719356E-3</v>
      </c>
      <c r="O24" s="255">
        <f t="shared" si="8"/>
        <v>4.3001057691645805E-2</v>
      </c>
      <c r="P24" s="265">
        <v>21.7</v>
      </c>
      <c r="Q24" s="266">
        <v>22.2</v>
      </c>
      <c r="R24" s="266">
        <v>0.97409999999999997</v>
      </c>
      <c r="S24" s="266">
        <v>0.96789999999999998</v>
      </c>
      <c r="T24" s="267">
        <f t="shared" si="9"/>
        <v>0.99329999999999996</v>
      </c>
      <c r="U24" s="267">
        <f t="shared" si="9"/>
        <v>0.9889</v>
      </c>
      <c r="V24" s="267">
        <f t="shared" si="9"/>
        <v>0.99099999999999999</v>
      </c>
      <c r="W24" s="268">
        <f t="shared" si="9"/>
        <v>0.98519999999999996</v>
      </c>
    </row>
    <row r="25" spans="1:23" s="240" customFormat="1" ht="13.8">
      <c r="A25" s="252">
        <v>1440</v>
      </c>
      <c r="B25" s="256">
        <v>24</v>
      </c>
      <c r="C25" s="256">
        <v>8</v>
      </c>
      <c r="D25" s="257">
        <v>0.5</v>
      </c>
      <c r="E25" s="258">
        <v>1.0199</v>
      </c>
      <c r="F25" s="253">
        <f t="shared" si="0"/>
        <v>8.5198999999999998</v>
      </c>
      <c r="G25" s="254">
        <f t="shared" si="1"/>
        <v>8.5005321832092804</v>
      </c>
      <c r="H25" s="255">
        <f t="shared" si="2"/>
        <v>2.0329732233391126E-2</v>
      </c>
      <c r="I25" s="254">
        <f t="shared" si="3"/>
        <v>0.17281354312596833</v>
      </c>
      <c r="J25" s="254">
        <v>2E-3</v>
      </c>
      <c r="K25" s="254">
        <f t="shared" si="4"/>
        <v>0.53154677817740603</v>
      </c>
      <c r="L25" s="253">
        <f t="shared" si="5"/>
        <v>0.99683526846276038</v>
      </c>
      <c r="M25" s="253">
        <f t="shared" si="6"/>
        <v>0.9443399999999994</v>
      </c>
      <c r="N25" s="253">
        <f t="shared" si="7"/>
        <v>1.0007446261248011E-3</v>
      </c>
      <c r="O25" s="255">
        <f t="shared" si="8"/>
        <v>3.0425276668617329E-2</v>
      </c>
      <c r="P25" s="265">
        <v>20.6</v>
      </c>
      <c r="Q25" s="266">
        <v>21.1</v>
      </c>
      <c r="R25" s="266">
        <v>0.98650000000000004</v>
      </c>
      <c r="S25" s="266">
        <v>0.98029999999999995</v>
      </c>
      <c r="T25" s="267">
        <f t="shared" si="9"/>
        <v>0.99329999999999996</v>
      </c>
      <c r="U25" s="267">
        <f t="shared" si="9"/>
        <v>0.9889</v>
      </c>
      <c r="V25" s="267">
        <f t="shared" si="9"/>
        <v>0.99099999999999999</v>
      </c>
      <c r="W25" s="268">
        <f t="shared" si="9"/>
        <v>0.98519999999999996</v>
      </c>
    </row>
    <row r="26" spans="1:23" s="238" customFormat="1" ht="13.8">
      <c r="A26" s="214"/>
      <c r="B26" s="215"/>
      <c r="C26" s="216"/>
      <c r="D26" s="217"/>
      <c r="E26" s="218"/>
      <c r="F26" s="218"/>
      <c r="G26" s="219"/>
      <c r="H26" s="220"/>
      <c r="I26" s="219"/>
      <c r="J26" s="221"/>
      <c r="K26" s="219"/>
      <c r="L26" s="219"/>
      <c r="M26" s="218"/>
      <c r="N26" s="218"/>
      <c r="O26" s="222"/>
      <c r="P26" s="269"/>
      <c r="Q26" s="270"/>
      <c r="R26" s="270"/>
      <c r="S26" s="270"/>
      <c r="T26" s="271"/>
      <c r="U26" s="271"/>
      <c r="V26" s="271"/>
      <c r="W26" s="272"/>
    </row>
    <row r="27" spans="1:23" s="241" customFormat="1" ht="12">
      <c r="A27" s="223" t="s">
        <v>513</v>
      </c>
      <c r="B27" s="224"/>
      <c r="C27" s="138"/>
      <c r="D27" s="210" t="s">
        <v>514</v>
      </c>
      <c r="E27" s="138"/>
      <c r="F27" s="223" t="s">
        <v>515</v>
      </c>
      <c r="G27" s="224"/>
      <c r="H27" s="224"/>
      <c r="I27" s="242">
        <v>2.66</v>
      </c>
      <c r="J27" s="209" t="s">
        <v>516</v>
      </c>
      <c r="K27" s="138"/>
      <c r="L27" s="138"/>
      <c r="M27" s="138"/>
      <c r="N27" s="138"/>
      <c r="O27" s="224"/>
      <c r="P27" s="264"/>
      <c r="Q27" s="264"/>
      <c r="R27" s="264"/>
      <c r="S27" s="264"/>
      <c r="T27" s="264"/>
      <c r="U27" s="264"/>
      <c r="V27" s="264"/>
      <c r="W27" s="264"/>
    </row>
    <row r="28" spans="1:23" s="241" customFormat="1" ht="12.6">
      <c r="A28" s="223" t="s">
        <v>517</v>
      </c>
      <c r="B28" s="224"/>
      <c r="C28" s="138"/>
      <c r="D28" s="211">
        <v>100</v>
      </c>
      <c r="E28" s="138"/>
      <c r="F28" s="223" t="s">
        <v>518</v>
      </c>
      <c r="G28" s="224"/>
      <c r="H28" s="224"/>
      <c r="I28" s="261" t="str">
        <f>+Gran!G45</f>
        <v>NP</v>
      </c>
      <c r="J28" s="138"/>
      <c r="K28" s="223" t="s">
        <v>519</v>
      </c>
      <c r="L28" s="224"/>
      <c r="M28" s="224"/>
      <c r="N28" s="259">
        <f>+D30-I23</f>
        <v>-0.24623987748623147</v>
      </c>
      <c r="O28" s="223" t="s">
        <v>187</v>
      </c>
      <c r="P28" s="264"/>
      <c r="Q28" s="264"/>
      <c r="R28" s="264"/>
      <c r="S28" s="264"/>
      <c r="T28" s="264"/>
      <c r="U28" s="264"/>
      <c r="V28" s="264"/>
      <c r="W28" s="264"/>
    </row>
    <row r="29" spans="1:23" s="241" customFormat="1" ht="12.6">
      <c r="A29" s="223" t="s">
        <v>520</v>
      </c>
      <c r="B29" s="224"/>
      <c r="C29" s="138"/>
      <c r="D29" s="226">
        <f>+Gran!I34</f>
        <v>2.0329732233391127</v>
      </c>
      <c r="E29" s="138"/>
      <c r="F29" s="223" t="s">
        <v>521</v>
      </c>
      <c r="G29" s="224"/>
      <c r="H29" s="224"/>
      <c r="I29" s="261">
        <f>+Gran!P30</f>
        <v>0</v>
      </c>
      <c r="J29" s="138"/>
      <c r="K29" s="223" t="s">
        <v>522</v>
      </c>
      <c r="L29" s="224"/>
      <c r="M29" s="224"/>
      <c r="N29" s="259">
        <f>+I23-I25</f>
        <v>7.3426334360263135E-2</v>
      </c>
      <c r="O29" s="223" t="s">
        <v>187</v>
      </c>
      <c r="P29" s="264"/>
      <c r="Q29" s="264"/>
      <c r="R29" s="264"/>
      <c r="S29" s="264"/>
      <c r="T29" s="264"/>
      <c r="U29" s="264"/>
      <c r="V29" s="264"/>
      <c r="W29" s="264"/>
    </row>
    <row r="30" spans="1:23" s="238" customFormat="1" ht="13.8">
      <c r="A30" s="223" t="s">
        <v>523</v>
      </c>
      <c r="B30" s="224"/>
      <c r="C30" s="138"/>
      <c r="D30" s="226">
        <f>+Gran!I41</f>
        <v>0</v>
      </c>
      <c r="E30" s="212"/>
      <c r="F30" s="223" t="s">
        <v>524</v>
      </c>
      <c r="G30" s="224"/>
      <c r="H30" s="224"/>
      <c r="I30" s="261" t="str">
        <f>+Gran!G46</f>
        <v>NP</v>
      </c>
      <c r="J30" s="248"/>
      <c r="K30" s="223" t="s">
        <v>525</v>
      </c>
      <c r="L30" s="224"/>
      <c r="M30" s="224"/>
      <c r="N30" s="260">
        <f>+I25</f>
        <v>0.17281354312596833</v>
      </c>
      <c r="O30" s="223" t="s">
        <v>187</v>
      </c>
      <c r="P30" s="263"/>
      <c r="Q30" s="263"/>
      <c r="R30" s="263"/>
      <c r="S30" s="263"/>
      <c r="T30" s="263"/>
      <c r="U30" s="263"/>
      <c r="V30" s="263"/>
      <c r="W30" s="263"/>
    </row>
    <row r="31" spans="1:23" s="238" customFormat="1" ht="13.8">
      <c r="A31" s="223" t="s">
        <v>526</v>
      </c>
      <c r="B31" s="224"/>
      <c r="C31" s="138"/>
      <c r="D31" s="227">
        <f>0.622641509*I27/(I27-1)</f>
        <v>0.99772675538554223</v>
      </c>
      <c r="E31" s="214"/>
      <c r="F31" s="223" t="s">
        <v>527</v>
      </c>
      <c r="G31" s="224"/>
      <c r="H31" s="224"/>
      <c r="I31" s="225" t="str">
        <f>+Gran!D45</f>
        <v>GP</v>
      </c>
      <c r="J31" s="248"/>
      <c r="K31" s="248"/>
      <c r="L31" s="248"/>
      <c r="M31" s="248"/>
      <c r="N31" s="248"/>
      <c r="O31" s="214"/>
      <c r="P31" s="263"/>
      <c r="Q31" s="263"/>
      <c r="R31" s="263"/>
      <c r="S31" s="263"/>
      <c r="T31" s="263"/>
      <c r="U31" s="263"/>
      <c r="V31" s="263"/>
      <c r="W31" s="263"/>
    </row>
    <row r="32" spans="1:2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</row>
    <row r="33" spans="1:1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</row>
    <row r="34" spans="1:1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</row>
    <row r="35" spans="1:1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</row>
    <row r="36" spans="1:1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</row>
    <row r="37" spans="1:1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</row>
    <row r="38" spans="1:1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</row>
    <row r="39" spans="1:15">
      <c r="A39" s="136"/>
      <c r="B39" s="136"/>
      <c r="C39" s="136"/>
      <c r="D39" s="1695"/>
      <c r="E39" s="1695"/>
      <c r="F39" s="136"/>
      <c r="G39" s="136"/>
      <c r="H39" s="1695"/>
      <c r="I39" s="1695"/>
      <c r="J39" s="136"/>
      <c r="K39" s="136"/>
      <c r="L39" s="1695"/>
      <c r="M39" s="1695"/>
      <c r="N39" s="136"/>
      <c r="O39" s="136"/>
    </row>
    <row r="40" spans="1:1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</row>
    <row r="41" spans="1:15">
      <c r="N41" s="243"/>
    </row>
    <row r="54" spans="1:3" ht="13.8">
      <c r="A54" s="238" t="s">
        <v>528</v>
      </c>
      <c r="C54">
        <f>+D30</f>
        <v>0</v>
      </c>
    </row>
    <row r="55" spans="1:3" ht="13.8">
      <c r="A55" s="238" t="s">
        <v>529</v>
      </c>
      <c r="C55">
        <v>0.54</v>
      </c>
    </row>
    <row r="56" spans="1:3" ht="13.8">
      <c r="A56" s="238" t="s">
        <v>530</v>
      </c>
      <c r="C56">
        <v>0</v>
      </c>
    </row>
  </sheetData>
  <mergeCells count="30">
    <mergeCell ref="R15:R16"/>
    <mergeCell ref="Q15:Q16"/>
    <mergeCell ref="P15:P16"/>
    <mergeCell ref="W15:W16"/>
    <mergeCell ref="V15:V16"/>
    <mergeCell ref="U15:U16"/>
    <mergeCell ref="T15:T16"/>
    <mergeCell ref="S15:S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525780</xdr:colOff>
                <xdr:row>0</xdr:row>
                <xdr:rowOff>60960</xdr:rowOff>
              </from>
              <to>
                <xdr:col>14</xdr:col>
                <xdr:colOff>502920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4"/>
  <sheetViews>
    <sheetView zoomScaleSheetLayoutView="100" workbookViewId="0">
      <selection sqref="A1:A4"/>
    </sheetView>
  </sheetViews>
  <sheetFormatPr baseColWidth="10" defaultColWidth="11.44140625" defaultRowHeight="13.2"/>
  <cols>
    <col min="1" max="1" width="27.33203125" style="107" customWidth="1"/>
    <col min="2" max="4" width="17.5546875" style="107" customWidth="1"/>
    <col min="5" max="5" width="2.109375" style="107" customWidth="1"/>
    <col min="6" max="16384" width="11.44140625" style="107"/>
  </cols>
  <sheetData>
    <row r="1" spans="1:5" ht="11.4" customHeight="1" thickTop="1">
      <c r="A1" s="1709" t="s">
        <v>485</v>
      </c>
      <c r="D1" s="147"/>
      <c r="E1" s="147"/>
    </row>
    <row r="2" spans="1:5" ht="11.4" customHeight="1">
      <c r="A2" s="1710"/>
    </row>
    <row r="3" spans="1:5" ht="11.4" customHeight="1">
      <c r="A3" s="1710"/>
    </row>
    <row r="4" spans="1:5" ht="11.4" customHeight="1" thickBot="1">
      <c r="A4" s="1711"/>
      <c r="B4" s="150"/>
      <c r="C4" s="151"/>
      <c r="D4" s="150"/>
      <c r="E4" s="151"/>
    </row>
    <row r="5" spans="1:5" ht="11.4" customHeight="1" thickTop="1">
      <c r="A5" s="150"/>
      <c r="B5" s="178"/>
    </row>
    <row r="6" spans="1:5" ht="19.5" customHeight="1">
      <c r="A6" s="1712" t="s">
        <v>531</v>
      </c>
      <c r="B6" s="1712"/>
      <c r="C6" s="1712"/>
      <c r="D6" s="1712"/>
    </row>
    <row r="7" spans="1:5" ht="3.75" customHeight="1" thickBot="1">
      <c r="A7" s="166"/>
      <c r="B7" s="179"/>
      <c r="C7" s="173"/>
      <c r="D7" s="173"/>
    </row>
    <row r="8" spans="1:5" ht="13.2" customHeight="1" thickTop="1">
      <c r="A8" s="1714"/>
      <c r="B8" s="1714"/>
      <c r="C8" s="1714"/>
      <c r="D8" s="1714"/>
    </row>
    <row r="9" spans="1:5" ht="13.2" customHeight="1">
      <c r="A9" s="1058"/>
      <c r="B9" s="1058"/>
      <c r="C9" s="1058"/>
      <c r="D9" s="1058"/>
      <c r="E9" s="1171"/>
    </row>
    <row r="10" spans="1:5" ht="13.2" customHeight="1">
      <c r="A10" s="1057"/>
      <c r="B10" s="1057"/>
      <c r="C10" s="1057"/>
      <c r="D10" s="1057"/>
      <c r="E10" s="180"/>
    </row>
    <row r="11" spans="1:5" ht="13.2" customHeight="1"/>
    <row r="12" spans="1:5" ht="13.2" customHeight="1">
      <c r="A12" s="181" t="e">
        <f>+#REF!</f>
        <v>#REF!</v>
      </c>
      <c r="B12" s="182" t="e">
        <f>+#REF!</f>
        <v>#REF!</v>
      </c>
      <c r="C12" s="183"/>
    </row>
    <row r="13" spans="1:5" ht="13.2" customHeight="1">
      <c r="A13" s="181" t="e">
        <f>+#REF!</f>
        <v>#REF!</v>
      </c>
      <c r="B13" s="182" t="e">
        <f>+#REF!</f>
        <v>#REF!</v>
      </c>
      <c r="C13" s="184"/>
    </row>
    <row r="14" spans="1:5" ht="13.2" customHeight="1">
      <c r="A14" s="181" t="e">
        <f>+#REF!</f>
        <v>#REF!</v>
      </c>
      <c r="B14" s="185" t="e">
        <f>+#REF!</f>
        <v>#REF!</v>
      </c>
      <c r="C14" s="186"/>
    </row>
    <row r="15" spans="1:5" ht="13.2" customHeight="1">
      <c r="A15" s="181"/>
      <c r="B15" s="187"/>
      <c r="C15" s="186"/>
    </row>
    <row r="16" spans="1:5" ht="13.2" customHeight="1">
      <c r="A16" s="181" t="e">
        <f>+#REF!</f>
        <v>#REF!</v>
      </c>
      <c r="B16" s="188"/>
      <c r="C16" s="189"/>
    </row>
    <row r="17" spans="1:4" ht="13.2" customHeight="1">
      <c r="A17" s="181" t="e">
        <f>+#REF!</f>
        <v>#REF!</v>
      </c>
      <c r="B17" s="182" t="e">
        <f>+#REF!</f>
        <v>#REF!</v>
      </c>
      <c r="C17" s="190"/>
      <c r="D17" s="191"/>
    </row>
    <row r="18" spans="1:4" ht="13.2" customHeight="1">
      <c r="A18" s="181" t="e">
        <f>+#REF!</f>
        <v>#REF!</v>
      </c>
      <c r="B18" s="182" t="e">
        <f>+#REF!</f>
        <v>#REF!</v>
      </c>
      <c r="D18" s="191"/>
    </row>
    <row r="19" spans="1:4" ht="13.2" customHeight="1">
      <c r="A19" s="181" t="e">
        <f>+#REF!</f>
        <v>#REF!</v>
      </c>
      <c r="B19" s="182" t="e">
        <f>+#REF!</f>
        <v>#REF!</v>
      </c>
      <c r="D19" s="191"/>
    </row>
    <row r="20" spans="1:4" ht="13.2" customHeight="1">
      <c r="A20" s="181" t="e">
        <f>+#REF!</f>
        <v>#REF!</v>
      </c>
      <c r="B20" s="182" t="e">
        <f>+#REF!</f>
        <v>#REF!</v>
      </c>
      <c r="D20" s="191"/>
    </row>
    <row r="21" spans="1:4" ht="13.2" customHeight="1">
      <c r="A21" s="1715" t="s">
        <v>233</v>
      </c>
      <c r="B21" s="1715"/>
      <c r="C21" s="1715"/>
      <c r="D21" s="1715"/>
    </row>
    <row r="22" spans="1:4" ht="13.2" customHeight="1"/>
    <row r="23" spans="1:4" ht="15.9" customHeight="1">
      <c r="A23" s="192" t="s">
        <v>532</v>
      </c>
      <c r="B23" s="193"/>
      <c r="C23" s="193">
        <v>1</v>
      </c>
      <c r="D23" s="193"/>
    </row>
    <row r="24" spans="1:4" ht="15.9" customHeight="1">
      <c r="A24" s="192" t="s">
        <v>533</v>
      </c>
      <c r="B24" s="175"/>
      <c r="C24" s="236">
        <v>138.4</v>
      </c>
      <c r="D24" s="175"/>
    </row>
    <row r="25" spans="1:4" ht="15.9" customHeight="1">
      <c r="A25" s="192" t="s">
        <v>534</v>
      </c>
      <c r="B25" s="175"/>
      <c r="C25" s="236">
        <v>112</v>
      </c>
      <c r="D25" s="175"/>
    </row>
    <row r="26" spans="1:4" ht="15.9" customHeight="1">
      <c r="A26" s="192" t="s">
        <v>535</v>
      </c>
      <c r="B26" s="175"/>
      <c r="C26" s="236"/>
      <c r="D26" s="175"/>
    </row>
    <row r="27" spans="1:4" ht="15.9" customHeight="1">
      <c r="A27" s="192" t="s">
        <v>536</v>
      </c>
      <c r="B27" s="175"/>
      <c r="C27" s="175">
        <f>+C24-C25</f>
        <v>26.400000000000006</v>
      </c>
      <c r="D27" s="175"/>
    </row>
    <row r="28" spans="1:4" ht="15.9" customHeight="1">
      <c r="A28" s="192" t="s">
        <v>537</v>
      </c>
      <c r="B28" s="175"/>
      <c r="C28" s="175">
        <f>+C25-C26</f>
        <v>112</v>
      </c>
      <c r="D28" s="175"/>
    </row>
    <row r="29" spans="1:4" ht="15.9" customHeight="1">
      <c r="A29" s="192" t="s">
        <v>538</v>
      </c>
      <c r="B29" s="175"/>
      <c r="C29" s="175">
        <f>+C27/C28*100</f>
        <v>23.571428571428577</v>
      </c>
      <c r="D29" s="175"/>
    </row>
    <row r="30" spans="1:4" ht="15.9" customHeight="1">
      <c r="A30" s="192" t="s">
        <v>539</v>
      </c>
      <c r="B30" s="1716">
        <f>AVERAGE(B29:D29)/100</f>
        <v>0.23571428571428577</v>
      </c>
      <c r="C30" s="1717"/>
      <c r="D30" s="1718"/>
    </row>
    <row r="31" spans="1:4">
      <c r="B31" s="190"/>
      <c r="C31" s="190"/>
      <c r="D31" s="190"/>
    </row>
    <row r="32" spans="1:4">
      <c r="A32" s="1172" t="s">
        <v>540</v>
      </c>
      <c r="B32" s="194"/>
      <c r="C32" s="195"/>
      <c r="D32" s="196"/>
    </row>
    <row r="33" spans="1:4">
      <c r="A33" s="197"/>
      <c r="B33" s="182"/>
      <c r="C33" s="198"/>
      <c r="D33" s="199"/>
    </row>
    <row r="34" spans="1:4">
      <c r="A34" s="200"/>
      <c r="B34" s="201"/>
      <c r="C34" s="201"/>
      <c r="D34" s="202"/>
    </row>
    <row r="35" spans="1:4">
      <c r="A35" s="203"/>
      <c r="B35" s="1713"/>
      <c r="C35" s="1713"/>
      <c r="D35" s="204"/>
    </row>
    <row r="36" spans="1:4">
      <c r="A36" s="205"/>
      <c r="B36" s="206"/>
      <c r="C36" s="206"/>
      <c r="D36" s="207"/>
    </row>
    <row r="37" spans="1:4">
      <c r="A37" s="115"/>
      <c r="B37" s="135"/>
      <c r="C37" s="135"/>
      <c r="D37" s="119"/>
    </row>
    <row r="38" spans="1:4">
      <c r="A38" s="208"/>
    </row>
    <row r="41" spans="1:4">
      <c r="A41" s="190"/>
      <c r="B41" s="190"/>
    </row>
    <row r="42" spans="1:4">
      <c r="A42" s="209"/>
    </row>
    <row r="44" spans="1:4">
      <c r="A44" s="190"/>
      <c r="B44" s="19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1097280</xdr:colOff>
                <xdr:row>0</xdr:row>
                <xdr:rowOff>45720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3"/>
  <dimension ref="A1:I46"/>
  <sheetViews>
    <sheetView topLeftCell="A10" workbookViewId="0">
      <selection activeCell="D29" sqref="D29"/>
    </sheetView>
  </sheetViews>
  <sheetFormatPr baseColWidth="10" defaultColWidth="11.44140625" defaultRowHeight="13.2"/>
  <cols>
    <col min="1" max="2" width="11.44140625" style="107"/>
    <col min="3" max="4" width="8.6640625" style="107" customWidth="1"/>
    <col min="5" max="5" width="9.6640625" style="107" customWidth="1"/>
    <col min="6" max="7" width="8.6640625" style="107" customWidth="1"/>
    <col min="8" max="8" width="19" style="107" customWidth="1"/>
    <col min="9" max="16384" width="11.44140625" style="107"/>
  </cols>
  <sheetData>
    <row r="1" spans="1:9" ht="10.5" customHeight="1" thickTop="1">
      <c r="A1" s="144"/>
      <c r="B1" s="167"/>
      <c r="C1" s="167"/>
      <c r="D1" s="167"/>
      <c r="E1" s="167"/>
      <c r="F1" s="167"/>
      <c r="G1" s="167"/>
      <c r="H1" s="168"/>
    </row>
    <row r="2" spans="1:9" ht="10.5" customHeight="1">
      <c r="A2" s="145"/>
      <c r="B2" s="169"/>
      <c r="C2" s="169"/>
      <c r="D2" s="169"/>
      <c r="E2" s="169"/>
      <c r="F2" s="169"/>
      <c r="G2" s="169"/>
      <c r="H2" s="170"/>
    </row>
    <row r="3" spans="1:9" ht="10.5" customHeight="1">
      <c r="A3" s="146"/>
      <c r="H3" s="172"/>
    </row>
    <row r="4" spans="1:9" ht="10.5" customHeight="1">
      <c r="A4" s="146"/>
      <c r="H4" s="172"/>
    </row>
    <row r="5" spans="1:9" ht="10.5" customHeight="1">
      <c r="A5" s="146"/>
      <c r="H5" s="172"/>
    </row>
    <row r="6" spans="1:9" ht="10.5" customHeight="1">
      <c r="A6" s="146"/>
      <c r="H6" s="172"/>
    </row>
    <row r="7" spans="1:9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9" ht="13.8" thickTop="1">
      <c r="A8" s="106"/>
    </row>
    <row r="9" spans="1:9">
      <c r="A9" s="1715" t="s">
        <v>541</v>
      </c>
      <c r="B9" s="1715"/>
      <c r="C9" s="1715"/>
      <c r="D9" s="1715"/>
      <c r="E9" s="1715"/>
      <c r="F9" s="1715"/>
      <c r="G9" s="1715"/>
      <c r="H9" s="1715"/>
    </row>
    <row r="10" spans="1:9">
      <c r="A10" s="1720" t="s">
        <v>542</v>
      </c>
      <c r="B10" s="1720"/>
      <c r="C10" s="1720"/>
      <c r="D10" s="1720"/>
      <c r="E10" s="1720"/>
      <c r="F10" s="1720"/>
      <c r="G10" s="1720"/>
      <c r="H10" s="1720"/>
    </row>
    <row r="11" spans="1:9">
      <c r="A11" s="1461" t="s">
        <v>143</v>
      </c>
      <c r="B11" s="1462"/>
      <c r="C11" s="1462"/>
      <c r="D11" s="1462"/>
      <c r="E11" s="1462"/>
      <c r="F11" s="1462"/>
      <c r="G11" s="1462"/>
      <c r="H11" s="1725"/>
      <c r="I11" s="560"/>
    </row>
    <row r="12" spans="1:9">
      <c r="A12" s="1173" t="s">
        <v>543</v>
      </c>
      <c r="B12" s="1110">
        <f>Gran!C7</f>
        <v>0</v>
      </c>
      <c r="C12" s="1174"/>
      <c r="D12" s="1175"/>
      <c r="E12" s="1176"/>
      <c r="F12" s="1176"/>
      <c r="G12" s="1175"/>
      <c r="H12" s="1176"/>
      <c r="I12" s="561"/>
    </row>
    <row r="13" spans="1:9">
      <c r="A13" s="485" t="str">
        <f>Gran!A9</f>
        <v>Solicitado</v>
      </c>
      <c r="B13" s="484" t="str">
        <f>Gran!C9</f>
        <v>CAME Contratistas y servicios generales S.A.</v>
      </c>
      <c r="C13" s="486"/>
      <c r="D13" s="559"/>
      <c r="E13" s="487"/>
      <c r="F13" s="488" t="str">
        <f>+'[11]G-LL'!F9</f>
        <v>Hecho por :</v>
      </c>
      <c r="G13" s="488" t="str">
        <f>+'[11]G-LL'!H9</f>
        <v>F. L. G</v>
      </c>
      <c r="H13" s="487"/>
      <c r="I13" s="561"/>
    </row>
    <row r="14" spans="1:9">
      <c r="A14" s="485" t="str">
        <f>Gran!A12</f>
        <v xml:space="preserve">Cantera </v>
      </c>
      <c r="B14" s="488" t="s">
        <v>151</v>
      </c>
      <c r="C14" s="486"/>
      <c r="D14" s="559"/>
      <c r="E14" s="487"/>
      <c r="F14" s="488" t="str">
        <f>+'[11]G-LL'!F10</f>
        <v>Revisado   :</v>
      </c>
      <c r="G14" s="484" t="str">
        <f>+'[11]G-LL'!H10</f>
        <v>I. C. L.</v>
      </c>
      <c r="H14" s="490"/>
      <c r="I14" s="561"/>
    </row>
    <row r="15" spans="1:9">
      <c r="A15" s="491" t="str">
        <f>+'[11]G-LL'!A9</f>
        <v>Certificado</v>
      </c>
      <c r="B15" s="558" t="e">
        <f>Gran!#REF!</f>
        <v>#REF!</v>
      </c>
      <c r="C15" s="492"/>
      <c r="D15" s="493"/>
      <c r="E15" s="494"/>
      <c r="F15" s="495" t="s">
        <v>544</v>
      </c>
      <c r="G15" s="496" t="e">
        <f>Gran!#REF!</f>
        <v>#REF!</v>
      </c>
      <c r="H15" s="497"/>
      <c r="I15" s="561"/>
    </row>
    <row r="16" spans="1:9">
      <c r="A16" s="1059"/>
      <c r="B16" s="1059"/>
      <c r="C16" s="1059"/>
      <c r="D16" s="1059"/>
      <c r="E16" s="1059"/>
      <c r="F16" s="1059"/>
      <c r="G16" s="1059"/>
      <c r="H16" s="1177"/>
    </row>
    <row r="17" spans="1:8">
      <c r="A17" s="108" t="str">
        <f>Gran!A13</f>
        <v xml:space="preserve">Material </v>
      </c>
      <c r="B17" s="139" t="str">
        <f>Gran!C13</f>
        <v>Grava para concreto</v>
      </c>
      <c r="C17" s="568"/>
      <c r="D17" s="568"/>
      <c r="E17" s="1059"/>
      <c r="F17" s="1059"/>
      <c r="G17" s="1059"/>
      <c r="H17" s="1059"/>
    </row>
    <row r="18" spans="1:8">
      <c r="A18" s="108" t="str">
        <f>A14</f>
        <v xml:space="preserve">Cantera </v>
      </c>
      <c r="B18" s="140" t="str">
        <f>B14</f>
        <v>Acopio-Planta</v>
      </c>
      <c r="C18" s="569"/>
      <c r="D18" s="569"/>
      <c r="E18" s="1059"/>
      <c r="F18" s="1059"/>
      <c r="G18" s="1059"/>
      <c r="H18" s="1059"/>
    </row>
    <row r="19" spans="1:8">
      <c r="A19" s="108" t="s">
        <v>545</v>
      </c>
      <c r="B19" s="141" t="s">
        <v>150</v>
      </c>
      <c r="C19" s="569"/>
      <c r="D19" s="569"/>
      <c r="E19" s="1059"/>
      <c r="F19" s="1059"/>
      <c r="G19" s="1059"/>
      <c r="H19" s="1059"/>
    </row>
    <row r="20" spans="1:8">
      <c r="A20" s="108"/>
      <c r="B20" s="111"/>
      <c r="C20" s="1059"/>
      <c r="D20" s="1059"/>
      <c r="E20" s="1059"/>
      <c r="F20" s="110"/>
      <c r="G20" s="1059"/>
      <c r="H20" s="1059"/>
    </row>
    <row r="21" spans="1:8">
      <c r="A21" s="142" t="s">
        <v>546</v>
      </c>
      <c r="B21" s="111"/>
      <c r="C21" s="1059"/>
      <c r="D21" s="1059"/>
      <c r="E21" s="1059"/>
      <c r="F21" s="110"/>
      <c r="G21" s="1059"/>
      <c r="H21" s="1059"/>
    </row>
    <row r="22" spans="1:8">
      <c r="A22" s="113" t="s">
        <v>547</v>
      </c>
      <c r="B22" s="114"/>
      <c r="C22" s="1178" t="s">
        <v>86</v>
      </c>
      <c r="D22" s="1178" t="s">
        <v>88</v>
      </c>
      <c r="E22" s="1178" t="s">
        <v>90</v>
      </c>
      <c r="F22" s="1178" t="s">
        <v>92</v>
      </c>
      <c r="G22" s="1178" t="s">
        <v>94</v>
      </c>
      <c r="H22" s="1179"/>
    </row>
    <row r="23" spans="1:8">
      <c r="A23" s="115" t="s">
        <v>548</v>
      </c>
      <c r="B23" s="116" t="s">
        <v>549</v>
      </c>
      <c r="C23" s="117" t="s">
        <v>550</v>
      </c>
      <c r="D23" s="117" t="s">
        <v>550</v>
      </c>
      <c r="E23" s="118" t="s">
        <v>551</v>
      </c>
      <c r="F23" s="117" t="s">
        <v>552</v>
      </c>
      <c r="G23" s="117" t="s">
        <v>553</v>
      </c>
      <c r="H23" s="119" t="s">
        <v>554</v>
      </c>
    </row>
    <row r="24" spans="1:8">
      <c r="A24" s="120"/>
      <c r="B24" s="121"/>
      <c r="C24" s="122"/>
      <c r="D24" s="562"/>
      <c r="E24" s="562"/>
      <c r="F24" s="121"/>
      <c r="G24" s="562"/>
      <c r="H24" s="123"/>
    </row>
    <row r="25" spans="1:8">
      <c r="A25" s="124" t="s">
        <v>53</v>
      </c>
      <c r="B25" s="125" t="s">
        <v>54</v>
      </c>
      <c r="C25" s="126">
        <f>+Gran!F28</f>
        <v>0</v>
      </c>
      <c r="D25" s="566">
        <v>1188</v>
      </c>
      <c r="E25" s="564" t="e">
        <f>+((D25/C25)*100)</f>
        <v>#DIV/0!</v>
      </c>
      <c r="F25" s="126">
        <f>+Gran!G28</f>
        <v>0</v>
      </c>
      <c r="G25" s="563" t="e">
        <f>+E25*F25</f>
        <v>#DIV/0!</v>
      </c>
      <c r="H25" s="128"/>
    </row>
    <row r="26" spans="1:8">
      <c r="A26" s="125" t="s">
        <v>54</v>
      </c>
      <c r="B26" s="125" t="s">
        <v>55</v>
      </c>
      <c r="C26" s="126">
        <f>+Gran!F29</f>
        <v>1866</v>
      </c>
      <c r="D26" s="566">
        <v>3406</v>
      </c>
      <c r="E26" s="564">
        <f>+((D26/C26)*100)</f>
        <v>182.52947481243299</v>
      </c>
      <c r="F26" s="126">
        <f>+Gran!G29</f>
        <v>23.359162775559259</v>
      </c>
      <c r="G26" s="563">
        <f>+E26*F26</f>
        <v>4263.7357134809663</v>
      </c>
      <c r="H26" s="128"/>
    </row>
    <row r="27" spans="1:8">
      <c r="A27" s="125" t="s">
        <v>55</v>
      </c>
      <c r="B27" s="125" t="s">
        <v>56</v>
      </c>
      <c r="C27" s="126">
        <f>+Gran!F30</f>
        <v>2894</v>
      </c>
      <c r="D27" s="566">
        <v>2080</v>
      </c>
      <c r="E27" s="564">
        <f>+((D27/C27)*100)</f>
        <v>71.872840359364204</v>
      </c>
      <c r="F27" s="126">
        <f>+Gran!G30</f>
        <v>36.227983425760179</v>
      </c>
      <c r="G27" s="563">
        <f>+E27*F27</f>
        <v>2603.8080693013535</v>
      </c>
      <c r="H27" s="128"/>
    </row>
    <row r="28" spans="1:8">
      <c r="A28" s="125" t="s">
        <v>56</v>
      </c>
      <c r="B28" s="125" t="s">
        <v>57</v>
      </c>
      <c r="C28" s="126">
        <f>+Gran!F31</f>
        <v>1632</v>
      </c>
      <c r="D28" s="567">
        <v>270</v>
      </c>
      <c r="E28" s="564">
        <f>+((D28/C28)*100)</f>
        <v>16.544117647058822</v>
      </c>
      <c r="F28" s="126">
        <f>+Gran!G31</f>
        <v>20.429878697595235</v>
      </c>
      <c r="G28" s="563">
        <f>+E28*F28</f>
        <v>337.99431668815646</v>
      </c>
      <c r="H28" s="130"/>
    </row>
    <row r="29" spans="1:8">
      <c r="A29" s="129" t="s">
        <v>555</v>
      </c>
      <c r="B29" s="131"/>
      <c r="C29" s="132">
        <f>SUM(C25:C28)</f>
        <v>6392</v>
      </c>
      <c r="D29" s="565"/>
      <c r="E29" s="565"/>
      <c r="F29" s="132">
        <f>SUM(F25:F28)</f>
        <v>80.017024898914684</v>
      </c>
      <c r="G29" s="133" t="e">
        <f>SUM(G25:G28)</f>
        <v>#DIV/0!</v>
      </c>
      <c r="H29" s="131"/>
    </row>
    <row r="30" spans="1:8">
      <c r="A30" s="120"/>
      <c r="H30" s="123"/>
    </row>
    <row r="31" spans="1:8">
      <c r="A31" s="120" t="s">
        <v>556</v>
      </c>
      <c r="E31" s="570" t="s">
        <v>557</v>
      </c>
      <c r="F31" s="134" t="e">
        <f>+G29/F29</f>
        <v>#DIV/0!</v>
      </c>
      <c r="G31" s="107" t="s">
        <v>187</v>
      </c>
      <c r="H31" s="123"/>
    </row>
    <row r="32" spans="1:8">
      <c r="A32" s="120"/>
      <c r="E32" s="190" t="s">
        <v>558</v>
      </c>
      <c r="H32" s="123"/>
    </row>
    <row r="33" spans="1:8">
      <c r="A33" s="1721"/>
      <c r="B33" s="1721"/>
      <c r="C33" s="1723"/>
      <c r="D33" s="1180"/>
      <c r="E33" s="1180"/>
      <c r="F33" s="1180"/>
      <c r="G33" s="1180"/>
      <c r="H33" s="1180"/>
    </row>
    <row r="34" spans="1:8">
      <c r="A34" s="1722"/>
      <c r="B34" s="1722"/>
      <c r="C34" s="1724"/>
    </row>
    <row r="35" spans="1:8">
      <c r="D35" s="190"/>
      <c r="G35" s="190"/>
    </row>
    <row r="46" spans="1:8">
      <c r="D46" s="1719"/>
      <c r="E46" s="1719"/>
    </row>
  </sheetData>
  <mergeCells count="6">
    <mergeCell ref="D46:E46"/>
    <mergeCell ref="A9:H9"/>
    <mergeCell ref="A10:H10"/>
    <mergeCell ref="A33:B34"/>
    <mergeCell ref="C33:C34"/>
    <mergeCell ref="A11:H11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4"/>
  <dimension ref="A1:H47"/>
  <sheetViews>
    <sheetView workbookViewId="0"/>
  </sheetViews>
  <sheetFormatPr baseColWidth="10" defaultColWidth="11.44140625" defaultRowHeight="13.2"/>
  <cols>
    <col min="1" max="2" width="11.44140625" style="107"/>
    <col min="3" max="4" width="8.6640625" style="107" customWidth="1"/>
    <col min="5" max="5" width="9.6640625" style="107" customWidth="1"/>
    <col min="6" max="7" width="8.6640625" style="107" customWidth="1"/>
    <col min="8" max="8" width="16.33203125" style="107" customWidth="1"/>
    <col min="9" max="16384" width="11.44140625" style="107"/>
  </cols>
  <sheetData>
    <row r="1" spans="1:8" ht="10.5" customHeight="1" thickTop="1">
      <c r="A1" s="144" t="s">
        <v>559</v>
      </c>
      <c r="B1" s="167"/>
      <c r="C1" s="167"/>
      <c r="D1" s="167"/>
      <c r="E1" s="167"/>
      <c r="F1" s="167"/>
      <c r="G1" s="167"/>
      <c r="H1" s="168"/>
    </row>
    <row r="2" spans="1:8" ht="10.5" customHeight="1">
      <c r="A2" s="145" t="s">
        <v>560</v>
      </c>
      <c r="B2" s="169"/>
      <c r="C2" s="169"/>
      <c r="D2" s="169"/>
      <c r="E2" s="169"/>
      <c r="F2" s="169"/>
      <c r="G2" s="169"/>
      <c r="H2" s="170"/>
    </row>
    <row r="3" spans="1:8" ht="10.5" customHeight="1">
      <c r="A3" s="146" t="s">
        <v>561</v>
      </c>
      <c r="H3" s="172"/>
    </row>
    <row r="4" spans="1:8" ht="10.5" customHeight="1">
      <c r="A4" s="146" t="s">
        <v>562</v>
      </c>
      <c r="H4" s="172"/>
    </row>
    <row r="5" spans="1:8" ht="10.5" customHeight="1">
      <c r="A5" s="146" t="s">
        <v>563</v>
      </c>
      <c r="H5" s="172"/>
    </row>
    <row r="6" spans="1:8" ht="10.5" customHeight="1">
      <c r="A6" s="146" t="s">
        <v>564</v>
      </c>
      <c r="H6" s="172"/>
    </row>
    <row r="7" spans="1:8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8" ht="13.8" thickTop="1">
      <c r="A8" s="106"/>
    </row>
    <row r="9" spans="1:8">
      <c r="A9" s="1715" t="s">
        <v>565</v>
      </c>
      <c r="B9" s="1715"/>
      <c r="C9" s="1715"/>
      <c r="D9" s="1715"/>
      <c r="E9" s="1715"/>
      <c r="F9" s="1715"/>
      <c r="G9" s="1715"/>
      <c r="H9" s="1715"/>
    </row>
    <row r="10" spans="1:8">
      <c r="A10" s="1726" t="s">
        <v>542</v>
      </c>
      <c r="B10" s="1726"/>
      <c r="C10" s="1726"/>
      <c r="D10" s="1726"/>
      <c r="E10" s="1726"/>
      <c r="F10" s="1726"/>
      <c r="G10" s="1726"/>
      <c r="H10" s="1726"/>
    </row>
    <row r="11" spans="1:8">
      <c r="A11" s="1059"/>
      <c r="B11" s="1059"/>
      <c r="C11" s="1059"/>
      <c r="D11" s="1059"/>
      <c r="E11" s="1059"/>
      <c r="F11" s="1059"/>
      <c r="G11" s="1059"/>
      <c r="H11" s="1059"/>
    </row>
    <row r="12" spans="1:8">
      <c r="A12" s="108" t="e">
        <f>+#REF!</f>
        <v>#REF!</v>
      </c>
      <c r="B12" s="139" t="e">
        <f>+#REF!</f>
        <v>#REF!</v>
      </c>
      <c r="C12" s="1059"/>
      <c r="D12" s="1059"/>
      <c r="E12" s="1059"/>
      <c r="F12" s="1059"/>
      <c r="G12" s="1059"/>
      <c r="H12" s="1059"/>
    </row>
    <row r="13" spans="1:8">
      <c r="A13" s="108" t="e">
        <f>+#REF!</f>
        <v>#REF!</v>
      </c>
      <c r="B13" s="140" t="e">
        <f>+#REF!</f>
        <v>#REF!</v>
      </c>
      <c r="C13" s="1059"/>
      <c r="D13" s="1059"/>
      <c r="E13" s="1059"/>
      <c r="F13" s="1059"/>
      <c r="G13" s="1059"/>
      <c r="H13" s="1059"/>
    </row>
    <row r="14" spans="1:8">
      <c r="A14" s="108" t="e">
        <f>+#REF!</f>
        <v>#REF!</v>
      </c>
      <c r="B14" s="141" t="e">
        <f>+#REF!</f>
        <v>#REF!</v>
      </c>
      <c r="C14" s="1059"/>
      <c r="D14" s="1059"/>
      <c r="E14" s="1059"/>
      <c r="F14" s="1059"/>
      <c r="G14" s="1059"/>
      <c r="H14" s="1059"/>
    </row>
    <row r="15" spans="1:8">
      <c r="A15" s="108"/>
      <c r="B15" s="108"/>
      <c r="C15" s="1059"/>
      <c r="D15" s="1059"/>
      <c r="E15" s="1059"/>
      <c r="F15" s="1059"/>
      <c r="G15" s="1059"/>
      <c r="H15" s="1059"/>
    </row>
    <row r="16" spans="1:8">
      <c r="A16" s="108" t="e">
        <f>+#REF!</f>
        <v>#REF!</v>
      </c>
      <c r="B16" s="108"/>
      <c r="C16" s="1059"/>
      <c r="D16" s="1059"/>
      <c r="E16" s="109" t="e">
        <f>+#REF!</f>
        <v>#REF!</v>
      </c>
      <c r="F16" s="112" t="e">
        <f>+#REF!</f>
        <v>#REF!</v>
      </c>
      <c r="G16" s="1059"/>
      <c r="H16" s="1059"/>
    </row>
    <row r="17" spans="1:8">
      <c r="A17" s="108" t="e">
        <f>+#REF!</f>
        <v>#REF!</v>
      </c>
      <c r="B17" s="139" t="e">
        <f>+#REF!</f>
        <v>#REF!</v>
      </c>
      <c r="C17" s="1059"/>
      <c r="D17" s="1059"/>
      <c r="E17" s="1059"/>
      <c r="F17" s="110"/>
      <c r="G17" s="1059"/>
      <c r="H17" s="1059"/>
    </row>
    <row r="18" spans="1:8">
      <c r="A18" s="108" t="e">
        <f>+#REF!</f>
        <v>#REF!</v>
      </c>
      <c r="B18" s="140" t="e">
        <f>+#REF!</f>
        <v>#REF!</v>
      </c>
      <c r="C18" s="1059"/>
      <c r="D18" s="1059"/>
      <c r="E18" s="1059"/>
      <c r="F18" s="110"/>
      <c r="G18" s="1059"/>
      <c r="H18" s="1059"/>
    </row>
    <row r="19" spans="1:8">
      <c r="A19" s="108" t="e">
        <f>+#REF!</f>
        <v>#REF!</v>
      </c>
      <c r="B19" s="140" t="e">
        <f>+#REF!</f>
        <v>#REF!</v>
      </c>
      <c r="C19" s="1059"/>
      <c r="D19" s="1059"/>
      <c r="E19" s="1059"/>
      <c r="F19" s="110"/>
      <c r="G19" s="1059"/>
      <c r="H19" s="1059"/>
    </row>
    <row r="20" spans="1:8">
      <c r="A20" s="108"/>
      <c r="B20" s="111"/>
      <c r="C20" s="1059"/>
      <c r="D20" s="1059"/>
      <c r="E20" s="1059"/>
      <c r="F20" s="110"/>
      <c r="G20" s="1059"/>
      <c r="H20" s="1059"/>
    </row>
    <row r="21" spans="1:8">
      <c r="A21" s="108"/>
      <c r="B21" s="111"/>
      <c r="C21" s="1059"/>
      <c r="D21" s="1059"/>
      <c r="E21" s="1059"/>
      <c r="F21" s="110"/>
      <c r="G21" s="1059"/>
      <c r="H21" s="1059"/>
    </row>
    <row r="22" spans="1:8">
      <c r="A22" s="142"/>
      <c r="B22" s="111"/>
      <c r="C22" s="1059"/>
      <c r="D22" s="1059"/>
      <c r="E22" s="1059"/>
      <c r="F22" s="110"/>
      <c r="G22" s="1059"/>
      <c r="H22" s="1059"/>
    </row>
    <row r="23" spans="1:8">
      <c r="A23" s="113" t="s">
        <v>547</v>
      </c>
      <c r="B23" s="114"/>
      <c r="C23" s="1178" t="s">
        <v>86</v>
      </c>
      <c r="D23" s="1178" t="s">
        <v>88</v>
      </c>
      <c r="E23" s="1178" t="s">
        <v>90</v>
      </c>
      <c r="F23" s="1178" t="s">
        <v>92</v>
      </c>
      <c r="G23" s="1178" t="s">
        <v>94</v>
      </c>
      <c r="H23" s="1179"/>
    </row>
    <row r="24" spans="1:8">
      <c r="A24" s="115" t="s">
        <v>548</v>
      </c>
      <c r="B24" s="116" t="s">
        <v>549</v>
      </c>
      <c r="C24" s="117" t="s">
        <v>550</v>
      </c>
      <c r="D24" s="117" t="s">
        <v>550</v>
      </c>
      <c r="E24" s="118" t="s">
        <v>551</v>
      </c>
      <c r="F24" s="117" t="s">
        <v>552</v>
      </c>
      <c r="G24" s="117" t="s">
        <v>553</v>
      </c>
      <c r="H24" s="119" t="s">
        <v>554</v>
      </c>
    </row>
    <row r="25" spans="1:8">
      <c r="A25" s="120"/>
      <c r="B25" s="121"/>
      <c r="C25" s="122"/>
      <c r="D25" s="121"/>
      <c r="E25" s="121"/>
      <c r="F25" s="121"/>
      <c r="G25" s="121"/>
      <c r="H25" s="123"/>
    </row>
    <row r="26" spans="1:8">
      <c r="A26" s="124" t="s">
        <v>53</v>
      </c>
      <c r="B26" s="125" t="s">
        <v>54</v>
      </c>
      <c r="C26" s="127">
        <f>+Gran!F28</f>
        <v>0</v>
      </c>
      <c r="D26" s="126">
        <v>125</v>
      </c>
      <c r="E26" s="126" t="e">
        <f>+((D26/C26)*100)</f>
        <v>#DIV/0!</v>
      </c>
      <c r="F26" s="126">
        <f>+Gran!G28</f>
        <v>0</v>
      </c>
      <c r="G26" s="127" t="e">
        <f>+E26*F26</f>
        <v>#DIV/0!</v>
      </c>
      <c r="H26" s="128"/>
    </row>
    <row r="27" spans="1:8">
      <c r="A27" s="125" t="s">
        <v>54</v>
      </c>
      <c r="B27" s="125" t="s">
        <v>55</v>
      </c>
      <c r="C27" s="127">
        <f>+Gran!F29</f>
        <v>1866</v>
      </c>
      <c r="D27" s="126">
        <v>164</v>
      </c>
      <c r="E27" s="126">
        <f>+((D27/C27)*100)</f>
        <v>8.7888531618435159</v>
      </c>
      <c r="F27" s="126">
        <f>+Gran!G29</f>
        <v>23.359162775559259</v>
      </c>
      <c r="G27" s="127">
        <f>+E27*F27</f>
        <v>205.30025161799136</v>
      </c>
      <c r="H27" s="128"/>
    </row>
    <row r="28" spans="1:8">
      <c r="A28" s="125" t="s">
        <v>55</v>
      </c>
      <c r="B28" s="125" t="s">
        <v>56</v>
      </c>
      <c r="C28" s="127">
        <f>+Gran!F30</f>
        <v>2894</v>
      </c>
      <c r="D28" s="126">
        <v>203</v>
      </c>
      <c r="E28" s="126">
        <f>+((D28/C28)*100)</f>
        <v>7.0145127850725641</v>
      </c>
      <c r="F28" s="126">
        <f>+Gran!G30</f>
        <v>36.227983425760179</v>
      </c>
      <c r="G28" s="127">
        <f>+E28*F28</f>
        <v>254.12165291739171</v>
      </c>
      <c r="H28" s="128"/>
    </row>
    <row r="29" spans="1:8">
      <c r="A29" s="125" t="s">
        <v>56</v>
      </c>
      <c r="B29" s="125" t="s">
        <v>57</v>
      </c>
      <c r="C29" s="127">
        <f>+Gran!F31</f>
        <v>1632</v>
      </c>
      <c r="D29" s="143">
        <v>198</v>
      </c>
      <c r="E29" s="126">
        <f>+((D29/C29)*100)</f>
        <v>12.132352941176471</v>
      </c>
      <c r="F29" s="126">
        <f>+Gran!G31</f>
        <v>20.429878697595235</v>
      </c>
      <c r="G29" s="127">
        <f>+E29*F29</f>
        <v>247.86249890464808</v>
      </c>
      <c r="H29" s="130"/>
    </row>
    <row r="30" spans="1:8">
      <c r="A30" s="129" t="s">
        <v>555</v>
      </c>
      <c r="B30" s="131"/>
      <c r="C30" s="132">
        <f>SUM(C26:C29)</f>
        <v>6392</v>
      </c>
      <c r="D30" s="117"/>
      <c r="E30" s="129"/>
      <c r="F30" s="132">
        <f>SUM(F26:F29)</f>
        <v>80.017024898914684</v>
      </c>
      <c r="G30" s="133" t="e">
        <f>SUM(G26:G29)</f>
        <v>#DIV/0!</v>
      </c>
      <c r="H30" s="131"/>
    </row>
    <row r="31" spans="1:8">
      <c r="A31" s="120"/>
      <c r="H31" s="123"/>
    </row>
    <row r="32" spans="1:8">
      <c r="A32" s="120" t="s">
        <v>566</v>
      </c>
      <c r="E32" s="190" t="s">
        <v>557</v>
      </c>
      <c r="F32" s="134" t="e">
        <f>+G30/F30</f>
        <v>#DIV/0!</v>
      </c>
      <c r="G32" s="107" t="s">
        <v>187</v>
      </c>
      <c r="H32" s="123"/>
    </row>
    <row r="33" spans="1:8">
      <c r="A33" s="120"/>
      <c r="E33" s="190" t="s">
        <v>558</v>
      </c>
      <c r="H33" s="123"/>
    </row>
    <row r="34" spans="1:8">
      <c r="A34" s="1727"/>
      <c r="B34" s="1721"/>
      <c r="C34" s="1723"/>
      <c r="D34" s="1180"/>
      <c r="E34" s="1180"/>
      <c r="F34" s="1180"/>
      <c r="G34" s="1180"/>
      <c r="H34" s="1179"/>
    </row>
    <row r="35" spans="1:8">
      <c r="A35" s="1728"/>
      <c r="B35" s="1729"/>
      <c r="C35" s="1730"/>
      <c r="D35" s="135"/>
      <c r="E35" s="135"/>
      <c r="F35" s="135"/>
      <c r="G35" s="135"/>
      <c r="H35" s="119"/>
    </row>
    <row r="36" spans="1:8">
      <c r="D36" s="190"/>
      <c r="G36" s="190"/>
    </row>
    <row r="47" spans="1:8">
      <c r="D47" s="1719"/>
      <c r="E47" s="1719"/>
    </row>
  </sheetData>
  <mergeCells count="5">
    <mergeCell ref="D47:E47"/>
    <mergeCell ref="A9:H9"/>
    <mergeCell ref="A10:H10"/>
    <mergeCell ref="A34:B35"/>
    <mergeCell ref="C34:C35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21</vt:i4>
      </vt:variant>
    </vt:vector>
  </HeadingPairs>
  <TitlesOfParts>
    <vt:vector size="41" baseType="lpstr">
      <vt:lpstr>Gran</vt:lpstr>
      <vt:lpstr>G_E</vt:lpstr>
      <vt:lpstr>PU-S</vt:lpstr>
      <vt:lpstr>PU-C</vt:lpstr>
      <vt:lpstr>% que pasa # 200</vt:lpstr>
      <vt:lpstr>D_S</vt:lpstr>
      <vt:lpstr>FORMATO</vt:lpstr>
      <vt:lpstr>&gt; Tamiz 200</vt:lpstr>
      <vt:lpstr>DATOS ENS</vt:lpstr>
      <vt:lpstr>Incertidumbre</vt:lpstr>
      <vt:lpstr>Balanza</vt:lpstr>
      <vt:lpstr>Precision</vt:lpstr>
      <vt:lpstr>CHATAS</vt:lpstr>
      <vt:lpstr>Sucs</vt:lpstr>
      <vt:lpstr>Aashto</vt:lpstr>
      <vt:lpstr>Apoyo 2</vt:lpstr>
      <vt:lpstr>Sedimentación</vt:lpstr>
      <vt:lpstr>H.N</vt:lpstr>
      <vt:lpstr>Caras Fracturadas</vt:lpstr>
      <vt:lpstr>Chatas y Alarga.</vt:lpstr>
      <vt:lpstr>'% que pasa # 200'!Área_de_impresión</vt:lpstr>
      <vt:lpstr>'&gt; Tamiz 200'!Área_de_impresión</vt:lpstr>
      <vt:lpstr>Aashto!Área_de_impresión</vt:lpstr>
      <vt:lpstr>'Caras Fracturadas'!Área_de_impresión</vt:lpstr>
      <vt:lpstr>CHATAS!Área_de_impresión</vt:lpstr>
      <vt:lpstr>'Chatas y Alarga.'!Área_de_impresión</vt:lpstr>
      <vt:lpstr>D_S!Área_de_impresión</vt:lpstr>
      <vt:lpstr>FORMATO!Área_de_impresión</vt:lpstr>
      <vt:lpstr>G_E!Área_de_impresión</vt:lpstr>
      <vt:lpstr>Gran!Área_de_impresión</vt:lpstr>
      <vt:lpstr>H.N!Área_de_impresión</vt:lpstr>
      <vt:lpstr>'PU-C'!Área_de_impresión</vt:lpstr>
      <vt:lpstr>'PU-S'!Área_de_impresión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Equipo</cp:lastModifiedBy>
  <cp:revision/>
  <cp:lastPrinted>2026-06-13T17:18:48Z</cp:lastPrinted>
  <dcterms:created xsi:type="dcterms:W3CDTF">2001-07-17T22:05:44Z</dcterms:created>
  <dcterms:modified xsi:type="dcterms:W3CDTF">2026-06-13T17:18:53Z</dcterms:modified>
  <cp:contentStatus/>
</cp:coreProperties>
</file>