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Gran agregado AG\"/>
    </mc:Choice>
  </mc:AlternateContent>
  <xr:revisionPtr revIDLastSave="0" documentId="13_ncr:1_{9F596B52-0D5A-4903-9853-7278EA5BE0CD}" xr6:coauthVersionLast="47" xr6:coauthVersionMax="47" xr10:uidLastSave="{00000000-0000-0000-0000-000000000000}"/>
  <bookViews>
    <workbookView xWindow="-108" yWindow="-108" windowWidth="23256" windowHeight="12456" tabRatio="598" activeTab="3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96" l="1"/>
  <c r="H14" i="96"/>
  <c r="C271" i="101"/>
  <c r="C267" i="101"/>
  <c r="C257" i="101"/>
  <c r="C253" i="101"/>
  <c r="C243" i="101"/>
  <c r="C239" i="101"/>
  <c r="C229" i="101"/>
  <c r="C225" i="101"/>
  <c r="C215" i="101"/>
  <c r="C211" i="101"/>
  <c r="C201" i="101"/>
  <c r="C197" i="101"/>
  <c r="C187" i="101"/>
  <c r="C183" i="101"/>
  <c r="C173" i="101"/>
  <c r="C169" i="101"/>
  <c r="C159" i="101"/>
  <c r="C155" i="101"/>
  <c r="C145" i="101"/>
  <c r="C141" i="101"/>
  <c r="C131" i="101"/>
  <c r="C127" i="101"/>
  <c r="C117" i="101"/>
  <c r="C113" i="101"/>
  <c r="C103" i="101"/>
  <c r="C99" i="101"/>
  <c r="C89" i="101"/>
  <c r="C85" i="101"/>
  <c r="C75" i="101"/>
  <c r="C71" i="101"/>
  <c r="C61" i="101"/>
  <c r="C57" i="101"/>
  <c r="C47" i="101"/>
  <c r="C43" i="101"/>
  <c r="D42" i="96"/>
  <c r="D41" i="96"/>
  <c r="D40" i="96"/>
  <c r="D39" i="96"/>
  <c r="D38" i="96"/>
  <c r="D37" i="96"/>
  <c r="D36" i="96"/>
  <c r="D43" i="96"/>
  <c r="D44" i="96"/>
  <c r="D45" i="96"/>
  <c r="E21" i="96"/>
  <c r="B274" i="10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L11" i="103" l="1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C40" i="100" s="1"/>
  <c r="E37" i="96"/>
  <c r="C39" i="100" s="1"/>
  <c r="D14" i="96"/>
  <c r="E14" i="96" s="1"/>
  <c r="D15" i="96"/>
  <c r="I14" i="96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I16" i="96" l="1"/>
  <c r="E15" i="96" s="1"/>
  <c r="E16" i="96" s="1"/>
  <c r="E22" i="96"/>
  <c r="E23" i="96" s="1"/>
  <c r="E24" i="96" s="1"/>
  <c r="F24" i="96" s="1"/>
  <c r="Q36" i="92"/>
  <c r="Q23" i="98"/>
  <c r="I24" i="98" s="1"/>
  <c r="E26" i="98" s="1"/>
  <c r="D28" i="92"/>
  <c r="E28" i="92" s="1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Q42" i="92"/>
  <c r="A179" i="101"/>
  <c r="A198" i="101"/>
  <c r="I198" i="101" s="1"/>
  <c r="A184" i="101"/>
  <c r="I184" i="101" s="1"/>
  <c r="A207" i="101"/>
  <c r="A165" i="101"/>
  <c r="A268" i="101"/>
  <c r="I268" i="101" s="1"/>
  <c r="A212" i="101"/>
  <c r="I212" i="101" s="1"/>
  <c r="A235" i="101"/>
  <c r="A249" i="101"/>
  <c r="A193" i="101"/>
  <c r="A226" i="101"/>
  <c r="I226" i="101" s="1"/>
  <c r="A221" i="101"/>
  <c r="C34" i="100"/>
  <c r="C32" i="100"/>
  <c r="D31" i="100"/>
  <c r="B40" i="101"/>
  <c r="F14" i="96"/>
  <c r="F24" i="100"/>
  <c r="E24" i="100"/>
  <c r="G24" i="100"/>
  <c r="H24" i="100"/>
  <c r="C24" i="100"/>
  <c r="E59" i="96" l="1"/>
  <c r="F16" i="96"/>
  <c r="E19" i="96" s="1"/>
  <c r="Y25" i="98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I38" i="101"/>
  <c r="C42" i="101"/>
  <c r="E42" i="101" s="1"/>
  <c r="D32" i="100"/>
  <c r="B54" i="101"/>
  <c r="D27" i="100"/>
  <c r="E30" i="100"/>
  <c r="C41" i="101" s="1"/>
  <c r="E41" i="101" s="1"/>
  <c r="E31" i="100"/>
  <c r="C55" i="101" s="1"/>
  <c r="E55" i="101" s="1"/>
  <c r="B240" i="101" l="1"/>
  <c r="C242" i="101" s="1"/>
  <c r="E242" i="101" s="1"/>
  <c r="B226" i="101"/>
  <c r="C228" i="101" s="1"/>
  <c r="E228" i="101" s="1"/>
  <c r="B184" i="101"/>
  <c r="C186" i="101" s="1"/>
  <c r="E186" i="101" s="1"/>
  <c r="B198" i="101"/>
  <c r="C200" i="101" s="1"/>
  <c r="E200" i="101" s="1"/>
  <c r="B268" i="101"/>
  <c r="C270" i="101" s="1"/>
  <c r="E270" i="101" s="1"/>
  <c r="B254" i="101"/>
  <c r="C256" i="101" s="1"/>
  <c r="E256" i="101" s="1"/>
  <c r="B212" i="101"/>
  <c r="C214" i="101" s="1"/>
  <c r="E214" i="101" s="1"/>
  <c r="B170" i="101"/>
  <c r="C172" i="101" s="1"/>
  <c r="E172" i="101" s="1"/>
  <c r="F31" i="96"/>
  <c r="C26" i="100"/>
  <c r="F33" i="96"/>
  <c r="F28" i="96"/>
  <c r="F29" i="96"/>
  <c r="F34" i="96"/>
  <c r="F36" i="96"/>
  <c r="E61" i="96"/>
  <c r="F30" i="96"/>
  <c r="F32" i="96"/>
  <c r="F35" i="96"/>
  <c r="Z25" i="98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C56" i="101"/>
  <c r="E56" i="101" s="1"/>
  <c r="E54" i="101" s="1"/>
  <c r="I52" i="101"/>
  <c r="D33" i="100"/>
  <c r="B68" i="101"/>
  <c r="E32" i="100"/>
  <c r="C69" i="101" s="1"/>
  <c r="E69" i="101" s="1"/>
  <c r="E40" i="101"/>
  <c r="F33" i="102" l="1"/>
  <c r="F33" i="103"/>
  <c r="F29" i="102"/>
  <c r="F29" i="103"/>
  <c r="F27" i="103"/>
  <c r="F27" i="102"/>
  <c r="F31" i="102"/>
  <c r="F31" i="103"/>
  <c r="F32" i="102"/>
  <c r="F32" i="103"/>
  <c r="F26" i="103"/>
  <c r="F26" i="102"/>
  <c r="B128" i="101"/>
  <c r="B100" i="101"/>
  <c r="B86" i="101"/>
  <c r="D26" i="100"/>
  <c r="B44" i="101"/>
  <c r="B156" i="101"/>
  <c r="B114" i="101"/>
  <c r="B142" i="101"/>
  <c r="B58" i="101"/>
  <c r="B72" i="101"/>
  <c r="B66" i="101" s="1"/>
  <c r="G28" i="96"/>
  <c r="F25" i="102"/>
  <c r="F25" i="103"/>
  <c r="F30" i="103"/>
  <c r="F30" i="102"/>
  <c r="F28" i="103"/>
  <c r="F28" i="102"/>
  <c r="AA25" i="98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I66" i="101"/>
  <c r="C70" i="101"/>
  <c r="E70" i="101" s="1"/>
  <c r="E68" i="101" s="1"/>
  <c r="E33" i="100"/>
  <c r="C83" i="101" s="1"/>
  <c r="E83" i="101" s="1"/>
  <c r="D34" i="100"/>
  <c r="B82" i="101"/>
  <c r="F72" i="101" l="1"/>
  <c r="B38" i="101"/>
  <c r="F44" i="101"/>
  <c r="F40" i="101"/>
  <c r="G40" i="101" s="1"/>
  <c r="J42" i="101" s="1"/>
  <c r="C46" i="101"/>
  <c r="E46" i="101" s="1"/>
  <c r="C171" i="101"/>
  <c r="E171" i="101" s="1"/>
  <c r="E170" i="101" s="1"/>
  <c r="C129" i="101"/>
  <c r="E129" i="101" s="1"/>
  <c r="C255" i="101"/>
  <c r="E255" i="101" s="1"/>
  <c r="E254" i="101" s="1"/>
  <c r="C115" i="101"/>
  <c r="E115" i="101" s="1"/>
  <c r="C143" i="101"/>
  <c r="E143" i="101" s="1"/>
  <c r="C45" i="101"/>
  <c r="E45" i="101" s="1"/>
  <c r="C241" i="101"/>
  <c r="E241" i="101" s="1"/>
  <c r="E240" i="101" s="1"/>
  <c r="C73" i="101"/>
  <c r="E73" i="101" s="1"/>
  <c r="C157" i="101"/>
  <c r="E157" i="101" s="1"/>
  <c r="C101" i="101"/>
  <c r="E101" i="101" s="1"/>
  <c r="C87" i="101"/>
  <c r="E87" i="101" s="1"/>
  <c r="C269" i="101"/>
  <c r="E269" i="101" s="1"/>
  <c r="E268" i="101" s="1"/>
  <c r="C199" i="101"/>
  <c r="E199" i="101" s="1"/>
  <c r="E198" i="101" s="1"/>
  <c r="C59" i="101"/>
  <c r="E59" i="101" s="1"/>
  <c r="C185" i="101"/>
  <c r="E185" i="101" s="1"/>
  <c r="E184" i="101" s="1"/>
  <c r="C213" i="101"/>
  <c r="E213" i="101" s="1"/>
  <c r="E212" i="101" s="1"/>
  <c r="C227" i="101"/>
  <c r="E227" i="101" s="1"/>
  <c r="E226" i="101" s="1"/>
  <c r="C102" i="101"/>
  <c r="E102" i="101" s="1"/>
  <c r="F96" i="101"/>
  <c r="C144" i="101"/>
  <c r="E144" i="101" s="1"/>
  <c r="F138" i="101"/>
  <c r="C116" i="101"/>
  <c r="E116" i="101" s="1"/>
  <c r="F110" i="101"/>
  <c r="C158" i="101"/>
  <c r="E158" i="101" s="1"/>
  <c r="F152" i="101"/>
  <c r="F82" i="101"/>
  <c r="C88" i="101"/>
  <c r="E88" i="101" s="1"/>
  <c r="C130" i="101"/>
  <c r="E130" i="101" s="1"/>
  <c r="F124" i="101"/>
  <c r="G29" i="96"/>
  <c r="N28" i="96"/>
  <c r="O28" i="96" s="1"/>
  <c r="P28" i="96" s="1"/>
  <c r="H28" i="96"/>
  <c r="G25" i="103"/>
  <c r="G25" i="102"/>
  <c r="C74" i="101"/>
  <c r="E74" i="101" s="1"/>
  <c r="F68" i="101"/>
  <c r="G68" i="101" s="1"/>
  <c r="J70" i="101" s="1"/>
  <c r="F58" i="101"/>
  <c r="B52" i="101"/>
  <c r="F54" i="101"/>
  <c r="G54" i="101" s="1"/>
  <c r="J56" i="101" s="1"/>
  <c r="C60" i="101"/>
  <c r="E60" i="101" s="1"/>
  <c r="S30" i="92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E34" i="100"/>
  <c r="C97" i="101" s="1"/>
  <c r="E97" i="101" s="1"/>
  <c r="D35" i="100"/>
  <c r="B96" i="101"/>
  <c r="I80" i="101"/>
  <c r="C84" i="101"/>
  <c r="E84" i="101" s="1"/>
  <c r="E82" i="101" s="1"/>
  <c r="F86" i="101"/>
  <c r="B80" i="101"/>
  <c r="E58" i="101" l="1"/>
  <c r="G58" i="101" s="1"/>
  <c r="E142" i="101"/>
  <c r="E100" i="101"/>
  <c r="E156" i="101"/>
  <c r="E44" i="101"/>
  <c r="G44" i="101" s="1"/>
  <c r="J44" i="101" s="1"/>
  <c r="E114" i="101"/>
  <c r="AB25" i="103"/>
  <c r="H25" i="103" s="1"/>
  <c r="S28" i="96"/>
  <c r="T28" i="96" s="1"/>
  <c r="AC25" i="102"/>
  <c r="H25" i="102" s="1"/>
  <c r="E86" i="101"/>
  <c r="G26" i="102"/>
  <c r="G30" i="96"/>
  <c r="N29" i="96"/>
  <c r="O29" i="96" s="1"/>
  <c r="P29" i="96" s="1"/>
  <c r="H29" i="96"/>
  <c r="G26" i="103"/>
  <c r="G82" i="101"/>
  <c r="E72" i="101"/>
  <c r="G72" i="101" s="1"/>
  <c r="J72" i="101" s="1"/>
  <c r="G86" i="101"/>
  <c r="J86" i="101" s="1"/>
  <c r="E128" i="101"/>
  <c r="F30" i="98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C98" i="101"/>
  <c r="E98" i="101" s="1"/>
  <c r="E96" i="101" s="1"/>
  <c r="G96" i="101" s="1"/>
  <c r="F100" i="101"/>
  <c r="I94" i="101"/>
  <c r="B94" i="101"/>
  <c r="E35" i="100"/>
  <c r="C111" i="101" s="1"/>
  <c r="E111" i="101" s="1"/>
  <c r="D36" i="100"/>
  <c r="B110" i="101"/>
  <c r="H38" i="101" l="1"/>
  <c r="G100" i="101"/>
  <c r="J100" i="101" s="1"/>
  <c r="J58" i="101"/>
  <c r="H52" i="101"/>
  <c r="H80" i="101"/>
  <c r="H30" i="96"/>
  <c r="G27" i="102"/>
  <c r="G31" i="96"/>
  <c r="G27" i="103"/>
  <c r="N30" i="96"/>
  <c r="O30" i="96" s="1"/>
  <c r="P30" i="96" s="1"/>
  <c r="H66" i="101"/>
  <c r="J84" i="101"/>
  <c r="AC26" i="102"/>
  <c r="H26" i="102" s="1"/>
  <c r="S29" i="96"/>
  <c r="T29" i="96" s="1"/>
  <c r="AB26" i="103"/>
  <c r="H26" i="103" s="1"/>
  <c r="J27" i="98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J98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H94" i="101" l="1"/>
  <c r="G28" i="102"/>
  <c r="H31" i="96"/>
  <c r="G28" i="103"/>
  <c r="G32" i="96"/>
  <c r="N31" i="96"/>
  <c r="O31" i="96" s="1"/>
  <c r="P31" i="96" s="1"/>
  <c r="AC27" i="102"/>
  <c r="H27" i="102" s="1"/>
  <c r="AB27" i="103"/>
  <c r="H27" i="103" s="1"/>
  <c r="S30" i="96"/>
  <c r="T30" i="96" s="1"/>
  <c r="Y29" i="98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B122" i="101"/>
  <c r="I122" i="101"/>
  <c r="C126" i="101"/>
  <c r="E126" i="101" s="1"/>
  <c r="E124" i="101" s="1"/>
  <c r="G124" i="101" s="1"/>
  <c r="F128" i="101"/>
  <c r="G128" i="101" s="1"/>
  <c r="J128" i="101" s="1"/>
  <c r="H108" i="101"/>
  <c r="J112" i="101"/>
  <c r="B138" i="101"/>
  <c r="E37" i="100"/>
  <c r="C139" i="101" s="1"/>
  <c r="E139" i="101" s="1"/>
  <c r="D38" i="100"/>
  <c r="H32" i="96" l="1"/>
  <c r="N32" i="96"/>
  <c r="O32" i="96" s="1"/>
  <c r="P32" i="96" s="1"/>
  <c r="G29" i="102"/>
  <c r="G29" i="103"/>
  <c r="G33" i="96"/>
  <c r="S31" i="96"/>
  <c r="T31" i="96" s="1"/>
  <c r="AB28" i="103"/>
  <c r="H28" i="103" s="1"/>
  <c r="AC28" i="102"/>
  <c r="H28" i="102" s="1"/>
  <c r="F32" i="98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H122" i="101"/>
  <c r="J126" i="10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N33" i="96" l="1"/>
  <c r="O33" i="96" s="1"/>
  <c r="P33" i="96" s="1"/>
  <c r="H33" i="96"/>
  <c r="G34" i="96"/>
  <c r="G30" i="102"/>
  <c r="G30" i="103"/>
  <c r="AB29" i="103"/>
  <c r="H29" i="103" s="1"/>
  <c r="AC29" i="102"/>
  <c r="H29" i="102" s="1"/>
  <c r="S32" i="96"/>
  <c r="T32" i="96" s="1"/>
  <c r="Z29" i="98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J140" i="101"/>
  <c r="H136" i="101"/>
  <c r="D40" i="100"/>
  <c r="B166" i="101"/>
  <c r="F165" i="101" s="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G31" i="103" l="1"/>
  <c r="G35" i="96"/>
  <c r="N34" i="96"/>
  <c r="O34" i="96" s="1"/>
  <c r="P34" i="96" s="1"/>
  <c r="H34" i="96"/>
  <c r="G31" i="102"/>
  <c r="AC30" i="102"/>
  <c r="H30" i="102" s="1"/>
  <c r="S33" i="96"/>
  <c r="T33" i="96" s="1"/>
  <c r="AB30" i="103"/>
  <c r="H30" i="103" s="1"/>
  <c r="B263" i="101"/>
  <c r="F264" i="101" s="1"/>
  <c r="B221" i="101"/>
  <c r="F222" i="101" s="1"/>
  <c r="B249" i="101"/>
  <c r="F250" i="101" s="1"/>
  <c r="B207" i="101"/>
  <c r="F208" i="101" s="1"/>
  <c r="B165" i="101"/>
  <c r="F166" i="101" s="1"/>
  <c r="B193" i="101"/>
  <c r="F194" i="101" s="1"/>
  <c r="B235" i="101"/>
  <c r="F236" i="101" s="1"/>
  <c r="B179" i="101"/>
  <c r="F180" i="101" s="1"/>
  <c r="AA29" i="98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B180" i="101"/>
  <c r="F179" i="101" s="1"/>
  <c r="D41" i="100"/>
  <c r="E40" i="100"/>
  <c r="C181" i="101" s="1"/>
  <c r="E181" i="101" s="1"/>
  <c r="C168" i="101"/>
  <c r="E168" i="101" s="1"/>
  <c r="E166" i="101" s="1"/>
  <c r="H150" i="101"/>
  <c r="J154" i="101"/>
  <c r="S34" i="96" l="1"/>
  <c r="T34" i="96" s="1"/>
  <c r="AC31" i="102"/>
  <c r="H31" i="102" s="1"/>
  <c r="AB31" i="103"/>
  <c r="H31" i="103" s="1"/>
  <c r="F170" i="101"/>
  <c r="G170" i="101" s="1"/>
  <c r="J170" i="101" s="1"/>
  <c r="G36" i="96"/>
  <c r="H35" i="96"/>
  <c r="G32" i="103"/>
  <c r="N35" i="96"/>
  <c r="O35" i="96" s="1"/>
  <c r="P35" i="96" s="1"/>
  <c r="G32" i="102"/>
  <c r="B164" i="101"/>
  <c r="G166" i="101"/>
  <c r="I150" i="101"/>
  <c r="E263" i="101"/>
  <c r="E221" i="101"/>
  <c r="E207" i="101"/>
  <c r="E235" i="101"/>
  <c r="E165" i="101"/>
  <c r="G165" i="101" s="1"/>
  <c r="E249" i="101"/>
  <c r="E179" i="101"/>
  <c r="G179" i="101" s="1"/>
  <c r="E193" i="101"/>
  <c r="G34" i="98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D42" i="100"/>
  <c r="B194" i="101"/>
  <c r="F193" i="101" s="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5" i="96" l="1"/>
  <c r="T35" i="96" s="1"/>
  <c r="AB32" i="103"/>
  <c r="H32" i="103" s="1"/>
  <c r="AC32" i="102"/>
  <c r="H32" i="102" s="1"/>
  <c r="H36" i="96"/>
  <c r="G33" i="102"/>
  <c r="G33" i="103"/>
  <c r="N36" i="96"/>
  <c r="O36" i="96" s="1"/>
  <c r="P36" i="96" s="1"/>
  <c r="P38" i="96" s="1"/>
  <c r="I22" i="96"/>
  <c r="H164" i="101"/>
  <c r="I164" i="101" s="1"/>
  <c r="J168" i="101"/>
  <c r="G193" i="101"/>
  <c r="R36" i="95"/>
  <c r="S35" i="95"/>
  <c r="Z34" i="95"/>
  <c r="Z36" i="95" s="1"/>
  <c r="Z37" i="95" s="1"/>
  <c r="S22" i="95" s="1"/>
  <c r="R40" i="92"/>
  <c r="S39" i="92"/>
  <c r="K26" i="102"/>
  <c r="O26" i="103"/>
  <c r="E42" i="100"/>
  <c r="C209" i="101" s="1"/>
  <c r="E209" i="101" s="1"/>
  <c r="D43" i="100"/>
  <c r="B208" i="101"/>
  <c r="F207" i="101" s="1"/>
  <c r="G207" i="101" s="1"/>
  <c r="J182" i="101"/>
  <c r="J186" i="101" s="1"/>
  <c r="K182" i="101" s="1"/>
  <c r="H178" i="101"/>
  <c r="I178" i="101" s="1"/>
  <c r="F198" i="101"/>
  <c r="G198" i="101" s="1"/>
  <c r="J198" i="101" s="1"/>
  <c r="B192" i="101"/>
  <c r="C196" i="101"/>
  <c r="E196" i="101" s="1"/>
  <c r="E194" i="101" s="1"/>
  <c r="G194" i="101" s="1"/>
  <c r="O27" i="103" l="1"/>
  <c r="P27" i="102"/>
  <c r="F38" i="96"/>
  <c r="F45" i="96"/>
  <c r="F42" i="96"/>
  <c r="F37" i="96"/>
  <c r="F39" i="96"/>
  <c r="F40" i="96"/>
  <c r="F41" i="96"/>
  <c r="AB33" i="103"/>
  <c r="H33" i="103" s="1"/>
  <c r="F43" i="96"/>
  <c r="F44" i="96"/>
  <c r="S36" i="96"/>
  <c r="T36" i="96" s="1"/>
  <c r="T38" i="96" s="1"/>
  <c r="T39" i="96" s="1"/>
  <c r="I19" i="96" s="1"/>
  <c r="AC33" i="102"/>
  <c r="H33" i="102" s="1"/>
  <c r="S40" i="92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F221" i="101" s="1"/>
  <c r="G221" i="101" s="1"/>
  <c r="O25" i="103" l="1"/>
  <c r="K25" i="102"/>
  <c r="F40" i="102"/>
  <c r="F40" i="103"/>
  <c r="F38" i="102"/>
  <c r="F38" i="103"/>
  <c r="F34" i="102"/>
  <c r="G37" i="96"/>
  <c r="F34" i="103"/>
  <c r="F41" i="103"/>
  <c r="F41" i="102"/>
  <c r="F37" i="102"/>
  <c r="F37" i="103"/>
  <c r="F36" i="103"/>
  <c r="F36" i="102"/>
  <c r="F39" i="103"/>
  <c r="F39" i="102"/>
  <c r="F35" i="102"/>
  <c r="F35" i="103"/>
  <c r="S37" i="95"/>
  <c r="R38" i="95"/>
  <c r="R42" i="92"/>
  <c r="S41" i="92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F235" i="101" s="1"/>
  <c r="G235" i="101" s="1"/>
  <c r="E44" i="100"/>
  <c r="C237" i="101" s="1"/>
  <c r="E237" i="101" s="1"/>
  <c r="D45" i="100"/>
  <c r="J200" i="101"/>
  <c r="K196" i="101" s="1"/>
  <c r="G34" i="102" l="1"/>
  <c r="G34" i="103"/>
  <c r="H37" i="96"/>
  <c r="G38" i="96"/>
  <c r="S42" i="92"/>
  <c r="R43" i="92"/>
  <c r="I29" i="92" s="1"/>
  <c r="R39" i="95"/>
  <c r="S38" i="95"/>
  <c r="K210" i="101"/>
  <c r="K212" i="101"/>
  <c r="K213" i="101"/>
  <c r="B250" i="101"/>
  <c r="F249" i="101" s="1"/>
  <c r="G249" i="101" s="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J224" i="101"/>
  <c r="H220" i="101"/>
  <c r="I220" i="101" s="1"/>
  <c r="G35" i="102" l="1"/>
  <c r="G39" i="96"/>
  <c r="H38" i="96"/>
  <c r="G35" i="103"/>
  <c r="AB34" i="103"/>
  <c r="H34" i="103" s="1"/>
  <c r="AC34" i="102"/>
  <c r="H34" i="102" s="1"/>
  <c r="R40" i="95"/>
  <c r="S39" i="95"/>
  <c r="R44" i="92"/>
  <c r="S43" i="92"/>
  <c r="H234" i="101"/>
  <c r="I234" i="101" s="1"/>
  <c r="J238" i="101"/>
  <c r="B264" i="101"/>
  <c r="F263" i="101" s="1"/>
  <c r="G263" i="101" s="1"/>
  <c r="E46" i="100"/>
  <c r="C265" i="101" s="1"/>
  <c r="E265" i="101" s="1"/>
  <c r="J228" i="101"/>
  <c r="K224" i="101" s="1"/>
  <c r="B248" i="101"/>
  <c r="F254" i="101"/>
  <c r="G254" i="101" s="1"/>
  <c r="J254" i="101" s="1"/>
  <c r="C252" i="101"/>
  <c r="E252" i="101" s="1"/>
  <c r="E250" i="101" s="1"/>
  <c r="G250" i="101" s="1"/>
  <c r="AC35" i="102" l="1"/>
  <c r="H35" i="102" s="1"/>
  <c r="AB35" i="103"/>
  <c r="H35" i="103" s="1"/>
  <c r="G36" i="103"/>
  <c r="G40" i="96"/>
  <c r="H39" i="96"/>
  <c r="G36" i="102"/>
  <c r="R45" i="92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J242" i="101"/>
  <c r="K238" i="101" s="1"/>
  <c r="K225" i="101"/>
  <c r="K227" i="101"/>
  <c r="K226" i="101"/>
  <c r="G41" i="96" l="1"/>
  <c r="G37" i="102"/>
  <c r="H40" i="96"/>
  <c r="G37" i="103"/>
  <c r="AB36" i="103"/>
  <c r="H36" i="103" s="1"/>
  <c r="AC36" i="102"/>
  <c r="H36" i="102" s="1"/>
  <c r="R42" i="95"/>
  <c r="S41" i="95"/>
  <c r="J266" i="101"/>
  <c r="H262" i="101"/>
  <c r="I262" i="101" s="1"/>
  <c r="K239" i="101"/>
  <c r="K241" i="101"/>
  <c r="K240" i="101"/>
  <c r="J256" i="101"/>
  <c r="K252" i="101" s="1"/>
  <c r="AC37" i="102" l="1"/>
  <c r="H37" i="102" s="1"/>
  <c r="AB37" i="103"/>
  <c r="H37" i="103" s="1"/>
  <c r="G38" i="103"/>
  <c r="G38" i="102"/>
  <c r="G42" i="96"/>
  <c r="H41" i="96"/>
  <c r="R43" i="95"/>
  <c r="S42" i="95"/>
  <c r="K253" i="101"/>
  <c r="K255" i="101"/>
  <c r="K254" i="101"/>
  <c r="J270" i="101"/>
  <c r="K266" i="101" s="1"/>
  <c r="AB38" i="103" l="1"/>
  <c r="H38" i="103" s="1"/>
  <c r="AC38" i="102"/>
  <c r="H38" i="102" s="1"/>
  <c r="G39" i="102"/>
  <c r="G39" i="103"/>
  <c r="H42" i="96"/>
  <c r="G43" i="96"/>
  <c r="K269" i="101"/>
  <c r="K267" i="101"/>
  <c r="K268" i="101"/>
  <c r="G40" i="103" l="1"/>
  <c r="I21" i="96"/>
  <c r="G44" i="96"/>
  <c r="H43" i="96"/>
  <c r="G40" i="102"/>
  <c r="AC39" i="102"/>
  <c r="H39" i="102" s="1"/>
  <c r="AB39" i="103"/>
  <c r="H39" i="103" s="1"/>
  <c r="AC40" i="102" l="1"/>
  <c r="H40" i="102" s="1"/>
  <c r="AB40" i="103"/>
  <c r="H40" i="103" s="1"/>
  <c r="G41" i="102"/>
  <c r="G41" i="103"/>
  <c r="H44" i="96"/>
  <c r="K27" i="102"/>
  <c r="K25" i="103"/>
  <c r="AB41" i="103" l="1"/>
  <c r="H41" i="103" s="1"/>
  <c r="G45" i="96"/>
  <c r="AC41" i="102"/>
  <c r="H41" i="102" s="1"/>
  <c r="I24" i="96"/>
  <c r="P29" i="102" l="1"/>
  <c r="O29" i="103"/>
  <c r="I23" i="96"/>
  <c r="P28" i="102" l="1"/>
  <c r="O28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<sst xmlns="http://schemas.openxmlformats.org/spreadsheetml/2006/main" count="1171" uniqueCount="474">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</sst>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7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1" fontId="12" fillId="7" borderId="0" xfId="2" applyNumberFormat="1" applyFont="1" applyFill="1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11" fontId="12" fillId="7" borderId="0" xfId="0" applyNumberFormat="1" applyFont="1" applyFill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 applyProtection="1">
      <alignment horizontal="center"/>
      <protection hidden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9" fillId="0" borderId="22" xfId="2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181" fontId="16" fillId="0" borderId="0" xfId="0" applyNumberFormat="1" applyFont="1" applyAlignment="1" applyProtection="1">
      <alignment horizontal="center"/>
      <protection locked="0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 wrapText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topLeftCell="A34" zoomScaleNormal="100" zoomScaleSheetLayoutView="100" workbookViewId="0">
      <selection activeCell="H33" sqref="H33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26"/>
      <c r="B1" s="727"/>
      <c r="C1" s="728"/>
      <c r="D1" s="728"/>
      <c r="E1" s="728"/>
      <c r="F1" s="728"/>
      <c r="G1" s="728"/>
      <c r="H1" s="728"/>
      <c r="I1" s="729"/>
    </row>
    <row r="2" spans="1:14" ht="9.75" customHeight="1" x14ac:dyDescent="0.25">
      <c r="A2" s="730"/>
      <c r="B2" s="176"/>
      <c r="C2" s="177"/>
      <c r="D2" s="177"/>
      <c r="E2" s="177"/>
      <c r="F2" s="177"/>
      <c r="G2" s="177"/>
      <c r="H2" s="177"/>
      <c r="I2" s="731"/>
      <c r="L2" s="281" t="s">
        <v>106</v>
      </c>
      <c r="M2" s="775"/>
    </row>
    <row r="3" spans="1:14" ht="9.75" customHeight="1" x14ac:dyDescent="0.25">
      <c r="A3" s="730"/>
      <c r="B3" s="176"/>
      <c r="C3" s="177"/>
      <c r="D3" s="177"/>
      <c r="E3" s="177"/>
      <c r="F3" s="177"/>
      <c r="G3" s="177"/>
      <c r="H3" s="177"/>
      <c r="I3" s="731"/>
      <c r="L3" s="281" t="s">
        <v>299</v>
      </c>
      <c r="M3" s="776"/>
    </row>
    <row r="4" spans="1:14" ht="9.75" customHeight="1" x14ac:dyDescent="0.25">
      <c r="A4" s="730"/>
      <c r="B4" s="176"/>
      <c r="C4" s="177"/>
      <c r="D4" s="177"/>
      <c r="E4" s="177"/>
      <c r="F4" s="177"/>
      <c r="G4" s="177"/>
      <c r="H4" s="177"/>
      <c r="I4" s="731"/>
      <c r="L4" s="281" t="s">
        <v>109</v>
      </c>
      <c r="M4" s="776"/>
    </row>
    <row r="5" spans="1:14" ht="9.75" customHeight="1" thickBot="1" x14ac:dyDescent="0.3">
      <c r="A5" s="732"/>
      <c r="B5" s="733"/>
      <c r="C5" s="733"/>
      <c r="D5" s="733"/>
      <c r="E5" s="733"/>
      <c r="F5" s="733"/>
      <c r="G5" s="733"/>
      <c r="H5" s="733"/>
      <c r="I5" s="734"/>
      <c r="L5" s="281" t="s">
        <v>110</v>
      </c>
      <c r="M5" s="776"/>
    </row>
    <row r="6" spans="1:14" ht="6" customHeight="1" thickTop="1" x14ac:dyDescent="0.25">
      <c r="A6" s="735"/>
      <c r="B6" s="735"/>
      <c r="C6" s="735"/>
      <c r="D6" s="735"/>
      <c r="E6" s="735"/>
      <c r="F6" s="735"/>
      <c r="G6" s="735"/>
      <c r="H6" s="735"/>
      <c r="I6" s="735"/>
      <c r="L6" s="777"/>
      <c r="M6" s="778"/>
    </row>
    <row r="7" spans="1:14" ht="11.25" customHeight="1" x14ac:dyDescent="0.25">
      <c r="A7" s="829" t="s">
        <v>2</v>
      </c>
      <c r="B7" s="829"/>
      <c r="C7" s="829"/>
      <c r="D7" s="829"/>
      <c r="E7" s="829"/>
      <c r="F7" s="829"/>
      <c r="G7" s="829"/>
      <c r="H7" s="829"/>
      <c r="I7" s="829"/>
      <c r="L7" s="285" t="s">
        <v>446</v>
      </c>
      <c r="M7" s="778"/>
    </row>
    <row r="8" spans="1:14" ht="11.25" customHeight="1" x14ac:dyDescent="0.25">
      <c r="A8" s="830" t="s">
        <v>384</v>
      </c>
      <c r="B8" s="830"/>
      <c r="C8" s="830"/>
      <c r="D8" s="830"/>
      <c r="E8" s="830"/>
      <c r="F8" s="830"/>
      <c r="G8" s="830"/>
      <c r="H8" s="830"/>
      <c r="I8" s="830"/>
      <c r="L8" s="285" t="s">
        <v>447</v>
      </c>
      <c r="M8" s="779"/>
    </row>
    <row r="9" spans="1:14" ht="9.6" customHeight="1" x14ac:dyDescent="0.25">
      <c r="A9" s="725"/>
      <c r="B9" s="725"/>
      <c r="C9" s="725"/>
      <c r="D9" s="725"/>
      <c r="E9" s="725"/>
      <c r="F9" s="725"/>
      <c r="G9" s="725"/>
      <c r="H9" s="725"/>
      <c r="I9" s="725"/>
      <c r="L9" s="285" t="s">
        <v>448</v>
      </c>
      <c r="M9" s="778"/>
    </row>
    <row r="10" spans="1:14" ht="19.2" customHeight="1" x14ac:dyDescent="0.25">
      <c r="A10" s="725"/>
      <c r="B10" s="824" t="s">
        <v>385</v>
      </c>
      <c r="C10" s="824"/>
      <c r="D10" s="831" t="s">
        <v>386</v>
      </c>
      <c r="E10" s="832"/>
      <c r="F10" s="831" t="s">
        <v>387</v>
      </c>
      <c r="G10" s="832"/>
      <c r="H10" s="736" t="s">
        <v>388</v>
      </c>
      <c r="I10" s="725"/>
      <c r="L10" s="777"/>
      <c r="M10" s="778"/>
    </row>
    <row r="11" spans="1:14" ht="19.2" customHeight="1" x14ac:dyDescent="0.25">
      <c r="A11" s="725"/>
      <c r="B11" s="826"/>
      <c r="C11" s="826"/>
      <c r="D11" s="827"/>
      <c r="E11" s="828"/>
      <c r="F11" s="827"/>
      <c r="G11" s="828"/>
      <c r="H11" s="737" t="inlineStr">
        <is>
          <t>-</t>
        </is>
      </c>
      <c r="I11" s="725"/>
      <c r="L11" s="285" t="s">
        <v>449</v>
      </c>
      <c r="M11" s="778"/>
    </row>
    <row r="12" spans="1:14" ht="15" customHeight="1" x14ac:dyDescent="0.25">
      <c r="A12" s="725"/>
      <c r="B12" s="725"/>
      <c r="C12" s="725"/>
      <c r="D12" s="725"/>
      <c r="E12" s="725"/>
      <c r="F12" s="725"/>
      <c r="G12" s="725"/>
      <c r="H12" s="725"/>
      <c r="I12" s="725"/>
      <c r="L12" s="285" t="s">
        <v>450</v>
      </c>
      <c r="M12" s="779"/>
    </row>
    <row r="13" spans="1:14" ht="14.25" customHeight="1" x14ac:dyDescent="0.25">
      <c r="A13" s="816" t="s">
        <v>128</v>
      </c>
      <c r="B13" s="817"/>
      <c r="C13" s="817"/>
      <c r="D13" s="817"/>
      <c r="E13" s="817"/>
      <c r="F13" s="817"/>
      <c r="G13" s="817"/>
      <c r="H13" s="817"/>
      <c r="I13" s="818"/>
      <c r="J13" s="166"/>
      <c r="L13" s="285" t="s">
        <v>451</v>
      </c>
      <c r="M13" s="779"/>
      <c r="N13"/>
    </row>
    <row r="14" spans="1:14" x14ac:dyDescent="0.25">
      <c r="A14" s="819" t="s">
        <v>389</v>
      </c>
      <c r="B14" s="820"/>
      <c r="C14" s="820"/>
      <c r="D14" s="820"/>
      <c r="E14" s="820"/>
      <c r="F14" s="820"/>
      <c r="G14" s="820"/>
      <c r="H14" s="820"/>
      <c r="I14" s="821"/>
      <c r="J14" s="166"/>
      <c r="L14" s="777"/>
      <c r="M14" s="778"/>
    </row>
    <row r="15" spans="1:14" ht="15.6" customHeight="1" x14ac:dyDescent="0.25">
      <c r="A15" s="738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452</v>
      </c>
      <c r="M15" s="780"/>
    </row>
    <row r="16" spans="1:14" ht="20.25" customHeight="1" x14ac:dyDescent="0.25">
      <c r="A16" s="739" t="s">
        <v>390</v>
      </c>
      <c r="B16" s="803"/>
      <c r="C16" s="803"/>
      <c r="D16" s="803"/>
      <c r="E16" s="803"/>
      <c r="F16" s="231"/>
      <c r="G16" s="213" t="s">
        <v>9</v>
      </c>
      <c r="H16" s="244" t="s">
        <v>391</v>
      </c>
      <c r="I16" s="244" t="s">
        <v>392</v>
      </c>
      <c r="L16" s="285" t="s">
        <v>115</v>
      </c>
      <c r="M16" s="780"/>
    </row>
    <row r="17" spans="1:13" ht="20.25" customHeight="1" x14ac:dyDescent="0.25">
      <c r="A17" s="822" t="s">
        <v>393</v>
      </c>
      <c r="B17" s="822"/>
      <c r="C17" s="822"/>
      <c r="D17" s="823"/>
      <c r="E17" s="823"/>
      <c r="F17" s="231"/>
      <c r="G17" s="213" t="s">
        <v>11</v>
      </c>
      <c r="H17" s="244" t="s">
        <v>394</v>
      </c>
      <c r="I17" s="244" t="s">
        <v>395</v>
      </c>
      <c r="L17" s="285" t="s">
        <v>116</v>
      </c>
      <c r="M17" s="781"/>
    </row>
    <row r="18" spans="1:13" ht="20.25" customHeight="1" x14ac:dyDescent="0.25">
      <c r="A18" s="739" t="s">
        <v>396</v>
      </c>
      <c r="B18" s="803"/>
      <c r="C18" s="803"/>
      <c r="D18" s="803"/>
      <c r="E18" s="803"/>
      <c r="F18" s="740"/>
      <c r="G18" s="77" t="s">
        <v>397</v>
      </c>
      <c r="H18" s="741">
        <v>75</v>
      </c>
      <c r="I18" s="69"/>
    </row>
    <row r="19" spans="1:13" ht="16.2" customHeight="1" x14ac:dyDescent="0.25">
      <c r="E19" s="231"/>
      <c r="F19" s="231"/>
      <c r="G19" s="220" t="s">
        <v>398</v>
      </c>
      <c r="H19" s="741">
        <v>63</v>
      </c>
      <c r="I19" s="69"/>
    </row>
    <row r="20" spans="1:13" ht="18" customHeight="1" x14ac:dyDescent="0.25">
      <c r="A20" s="824" t="s">
        <v>399</v>
      </c>
      <c r="B20" s="824"/>
      <c r="C20" s="824"/>
      <c r="D20" s="824"/>
      <c r="E20" s="824"/>
      <c r="F20" s="742"/>
      <c r="G20" s="77" t="s">
        <v>400</v>
      </c>
      <c r="H20" s="741">
        <v>50</v>
      </c>
      <c r="I20" s="69"/>
      <c r="J20" s="773"/>
    </row>
    <row r="21" spans="1:13" ht="20.25" customHeight="1" x14ac:dyDescent="0.25">
      <c r="A21" s="743" t="s">
        <v>401</v>
      </c>
      <c r="B21" s="744"/>
      <c r="C21" s="745" t="s">
        <v>402</v>
      </c>
      <c r="D21" s="825"/>
      <c r="E21" s="825"/>
      <c r="F21" s="746"/>
      <c r="G21" s="77" t="s">
        <v>403</v>
      </c>
      <c r="H21" s="741">
        <v>37.5</v>
      </c>
      <c r="I21" s="69"/>
      <c r="J21" s="166"/>
    </row>
    <row r="22" spans="1:13" ht="20.25" customHeight="1" x14ac:dyDescent="0.25">
      <c r="A22" s="743" t="s">
        <v>404</v>
      </c>
      <c r="B22" s="744"/>
      <c r="C22" s="745" t="s">
        <v>402</v>
      </c>
      <c r="D22" s="825"/>
      <c r="E22" s="825"/>
      <c r="F22" s="746"/>
      <c r="G22" s="77" t="s">
        <v>405</v>
      </c>
      <c r="H22" s="741">
        <v>25</v>
      </c>
      <c r="I22" s="69"/>
    </row>
    <row r="23" spans="1:13" ht="20.25" customHeight="1" x14ac:dyDescent="0.25">
      <c r="A23" s="743" t="s">
        <v>406</v>
      </c>
      <c r="B23" s="744"/>
      <c r="C23" s="745" t="s">
        <v>402</v>
      </c>
      <c r="D23" s="825"/>
      <c r="E23" s="825"/>
      <c r="F23" s="746"/>
      <c r="G23" s="77" t="s">
        <v>407</v>
      </c>
      <c r="H23" s="741">
        <v>19</v>
      </c>
      <c r="I23" s="69"/>
    </row>
    <row r="24" spans="1:13" ht="20.25" customHeight="1" x14ac:dyDescent="0.25">
      <c r="A24" s="743" t="s">
        <v>408</v>
      </c>
      <c r="B24" s="744"/>
      <c r="C24" s="745" t="s">
        <v>402</v>
      </c>
      <c r="D24" s="825"/>
      <c r="E24" s="825"/>
      <c r="F24" s="746"/>
      <c r="G24" s="220" t="s">
        <v>409</v>
      </c>
      <c r="H24" s="741">
        <v>12.5</v>
      </c>
      <c r="I24" s="69"/>
    </row>
    <row r="25" spans="1:13" ht="19.2" customHeight="1" x14ac:dyDescent="0.25">
      <c r="A25" s="47"/>
      <c r="B25" s="742"/>
      <c r="C25" s="747"/>
      <c r="D25" s="742"/>
      <c r="E25" s="742"/>
      <c r="F25" s="742"/>
      <c r="G25" s="77" t="s">
        <v>410</v>
      </c>
      <c r="H25" s="741">
        <v>9.5</v>
      </c>
      <c r="I25" s="69"/>
    </row>
    <row r="26" spans="1:13" ht="17.25" customHeight="1" x14ac:dyDescent="0.25">
      <c r="A26" s="815" t="s">
        <v>411</v>
      </c>
      <c r="B26" s="815"/>
      <c r="C26" s="815"/>
      <c r="D26" s="815"/>
      <c r="E26" s="815"/>
      <c r="F26" s="5"/>
      <c r="G26" s="77" t="s">
        <v>412</v>
      </c>
      <c r="H26" s="741">
        <v>4.75</v>
      </c>
      <c r="I26" s="69"/>
    </row>
    <row r="27" spans="1:13" ht="20.25" customHeight="1" x14ac:dyDescent="0.25">
      <c r="A27" s="748" t="s">
        <v>401</v>
      </c>
      <c r="B27" s="749"/>
      <c r="C27" s="750" t="s">
        <v>402</v>
      </c>
      <c r="D27" s="811"/>
      <c r="E27" s="811"/>
      <c r="G27" s="220" t="s">
        <v>413</v>
      </c>
      <c r="H27" s="188">
        <v>2.36</v>
      </c>
      <c r="I27" s="69"/>
    </row>
    <row r="28" spans="1:13" ht="20.25" customHeight="1" x14ac:dyDescent="0.25">
      <c r="A28" s="748" t="s">
        <v>414</v>
      </c>
      <c r="B28" s="751"/>
      <c r="C28" s="752" t="s">
        <v>402</v>
      </c>
      <c r="D28" s="803"/>
      <c r="E28" s="803"/>
      <c r="G28" s="77" t="s">
        <v>415</v>
      </c>
      <c r="H28" s="188">
        <v>2</v>
      </c>
      <c r="I28" s="69"/>
    </row>
    <row r="29" spans="1:13" ht="20.25" customHeight="1" x14ac:dyDescent="0.25">
      <c r="A29" s="812" t="s">
        <v>416</v>
      </c>
      <c r="B29" s="813"/>
      <c r="C29" s="813"/>
      <c r="D29" s="813"/>
      <c r="E29" s="814"/>
      <c r="G29" s="220" t="s">
        <v>417</v>
      </c>
      <c r="H29" s="188">
        <v>1.18</v>
      </c>
      <c r="I29" s="69"/>
      <c r="J29" s="166"/>
    </row>
    <row r="30" spans="1:13" ht="20.25" customHeight="1" x14ac:dyDescent="0.25">
      <c r="A30" s="743" t="s">
        <v>404</v>
      </c>
      <c r="B30" s="753"/>
      <c r="C30" s="752" t="s">
        <v>402</v>
      </c>
      <c r="D30" s="803"/>
      <c r="E30" s="803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48" t="s">
        <v>406</v>
      </c>
      <c r="B31" s="753"/>
      <c r="C31" s="752" t="s">
        <v>402</v>
      </c>
      <c r="D31" s="803"/>
      <c r="E31" s="803"/>
      <c r="G31" s="220" t="s">
        <v>418</v>
      </c>
      <c r="H31" s="188">
        <v>0.42499999999999999</v>
      </c>
      <c r="I31" s="69"/>
      <c r="J31" s="166"/>
    </row>
    <row r="32" spans="1:13" ht="20.25" customHeight="1" x14ac:dyDescent="0.25">
      <c r="A32" s="812" t="s">
        <v>419</v>
      </c>
      <c r="B32" s="813"/>
      <c r="C32" s="813"/>
      <c r="D32" s="813"/>
      <c r="E32" s="814"/>
      <c r="G32" s="220" t="s">
        <v>420</v>
      </c>
      <c r="H32" s="188">
        <v>0.3</v>
      </c>
      <c r="I32" s="69"/>
      <c r="J32" s="166"/>
    </row>
    <row r="33" spans="1:10" ht="20.25" customHeight="1" x14ac:dyDescent="0.25">
      <c r="A33" s="743" t="s">
        <v>421</v>
      </c>
      <c r="B33" s="753"/>
      <c r="C33" s="752" t="s">
        <v>402</v>
      </c>
      <c r="D33" s="803"/>
      <c r="E33" s="803"/>
      <c r="F33" s="740"/>
      <c r="G33" s="220" t="s">
        <v>422</v>
      </c>
      <c r="H33" s="188">
        <v>0.15</v>
      </c>
      <c r="I33" s="69"/>
      <c r="J33" s="166"/>
    </row>
    <row r="34" spans="1:10" ht="20.25" customHeight="1" x14ac:dyDescent="0.25">
      <c r="A34" s="754" t="s">
        <v>423</v>
      </c>
      <c r="C34" s="747" t="s">
        <v>402</v>
      </c>
      <c r="D34" s="803"/>
      <c r="E34" s="803"/>
      <c r="F34" s="740"/>
      <c r="G34" s="220" t="s">
        <v>424</v>
      </c>
      <c r="H34" s="188">
        <v>7.4999999999999997E-2</v>
      </c>
      <c r="I34" s="69"/>
      <c r="J34" s="166"/>
    </row>
    <row r="35" spans="1:10" ht="20.25" customHeight="1" x14ac:dyDescent="0.25">
      <c r="A35" s="743" t="s">
        <v>425</v>
      </c>
      <c r="B35" s="753"/>
      <c r="C35" s="752" t="s">
        <v>402</v>
      </c>
      <c r="D35" s="803"/>
      <c r="E35" s="803"/>
      <c r="F35" s="740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54" t="s">
        <v>426</v>
      </c>
      <c r="C36" s="747" t="s">
        <v>402</v>
      </c>
      <c r="D36" s="803"/>
      <c r="E36" s="803"/>
      <c r="F36" s="740"/>
      <c r="H36" s="755" t="s">
        <v>427</v>
      </c>
      <c r="J36" s="166"/>
    </row>
    <row r="37" spans="1:10" ht="20.25" customHeight="1" x14ac:dyDescent="0.25">
      <c r="A37" s="743" t="s">
        <v>428</v>
      </c>
      <c r="B37" s="753"/>
      <c r="C37" s="752" t="s">
        <v>402</v>
      </c>
      <c r="D37" s="803"/>
      <c r="E37" s="803"/>
      <c r="F37" s="740"/>
      <c r="J37" s="166"/>
    </row>
    <row r="38" spans="1:10" ht="20.25" customHeight="1" x14ac:dyDescent="0.25">
      <c r="A38" s="748" t="s">
        <v>429</v>
      </c>
      <c r="B38" s="756"/>
      <c r="C38" s="750" t="s">
        <v>430</v>
      </c>
      <c r="D38" s="803"/>
      <c r="E38" s="803"/>
      <c r="F38" s="740"/>
      <c r="I38" s="757"/>
      <c r="J38" s="166"/>
    </row>
    <row r="39" spans="1:10" ht="20.25" customHeight="1" x14ac:dyDescent="0.25">
      <c r="A39" s="748" t="s">
        <v>431</v>
      </c>
      <c r="B39" s="756"/>
      <c r="C39" s="750" t="s">
        <v>402</v>
      </c>
      <c r="D39" s="803"/>
      <c r="E39" s="803"/>
      <c r="F39" s="740"/>
      <c r="G39" s="758"/>
      <c r="H39" s="759"/>
      <c r="I39" s="757"/>
      <c r="J39" s="166"/>
    </row>
    <row r="40" spans="1:10" ht="6.75" customHeight="1" x14ac:dyDescent="0.25">
      <c r="E40" s="740"/>
      <c r="F40" s="740"/>
      <c r="G40" s="758"/>
      <c r="H40" s="759"/>
      <c r="I40" s="757"/>
      <c r="J40" s="166"/>
    </row>
    <row r="41" spans="1:10" ht="15.75" customHeight="1" x14ac:dyDescent="0.25">
      <c r="A41" s="804" t="s">
        <v>432</v>
      </c>
      <c r="B41" s="804"/>
      <c r="C41" s="804"/>
      <c r="D41" s="804"/>
      <c r="E41" s="760"/>
      <c r="F41" s="760"/>
      <c r="J41" s="166"/>
    </row>
    <row r="42" spans="1:10" ht="20.25" customHeight="1" x14ac:dyDescent="0.25">
      <c r="A42" s="761" t="s">
        <v>433</v>
      </c>
      <c r="B42" s="762"/>
      <c r="C42" s="805"/>
      <c r="D42" s="805"/>
      <c r="E42" s="806"/>
      <c r="F42" s="806"/>
      <c r="J42" s="166"/>
    </row>
    <row r="43" spans="1:10" ht="20.25" customHeight="1" x14ac:dyDescent="0.25">
      <c r="A43" s="761" t="s">
        <v>434</v>
      </c>
      <c r="B43" s="763"/>
      <c r="C43" s="805"/>
      <c r="D43" s="805"/>
      <c r="E43" s="806"/>
      <c r="F43" s="806"/>
      <c r="J43" s="166"/>
    </row>
    <row r="44" spans="1:10" ht="21" customHeight="1" x14ac:dyDescent="0.25">
      <c r="A44" s="764" t="s">
        <v>435</v>
      </c>
      <c r="B44" s="763"/>
      <c r="C44" s="805"/>
      <c r="D44" s="805"/>
      <c r="E44" s="806"/>
      <c r="F44" s="806"/>
      <c r="J44" s="166"/>
    </row>
    <row r="45" spans="1:10" ht="6.75" customHeight="1" x14ac:dyDescent="0.25">
      <c r="J45" s="166"/>
    </row>
    <row r="46" spans="1:10" ht="20.25" customHeight="1" x14ac:dyDescent="0.25">
      <c r="A46" s="765" t="s">
        <v>436</v>
      </c>
      <c r="B46" s="766" t="s">
        <v>437</v>
      </c>
      <c r="C46" s="767"/>
      <c r="D46" s="768"/>
      <c r="E46" s="281"/>
      <c r="F46" s="281"/>
      <c r="J46" s="166"/>
    </row>
    <row r="47" spans="1:10" ht="25.5" customHeight="1" x14ac:dyDescent="0.25">
      <c r="A47" s="769" t="s">
        <v>438</v>
      </c>
      <c r="B47" s="807"/>
      <c r="C47" s="808"/>
      <c r="D47" s="809"/>
      <c r="E47" s="247"/>
      <c r="F47" s="247"/>
      <c r="G47" s="810" t="s">
        <v>439</v>
      </c>
      <c r="H47" s="810"/>
      <c r="I47" s="810"/>
      <c r="J47" s="166"/>
    </row>
    <row r="48" spans="1:10" ht="25.5" customHeight="1" x14ac:dyDescent="0.25">
      <c r="A48" s="770" t="s">
        <v>440</v>
      </c>
      <c r="B48" s="807"/>
      <c r="C48" s="808"/>
      <c r="D48" s="809"/>
      <c r="E48" s="247"/>
      <c r="F48" s="247"/>
      <c r="G48" s="4" t="s">
        <v>441</v>
      </c>
      <c r="J48" s="166"/>
    </row>
    <row r="49" spans="1:10" ht="28.5" customHeight="1" x14ac:dyDescent="0.25">
      <c r="A49" s="771" t="s">
        <v>442</v>
      </c>
      <c r="E49" s="247"/>
      <c r="F49" s="247"/>
      <c r="G49" s="247"/>
      <c r="H49" s="247"/>
      <c r="J49" s="166"/>
    </row>
    <row r="50" spans="1:10" ht="19.5" customHeight="1" x14ac:dyDescent="0.25">
      <c r="A50" s="771"/>
      <c r="E50" s="247"/>
      <c r="F50" s="247"/>
      <c r="G50" s="247"/>
      <c r="H50" s="247"/>
      <c r="J50" s="166"/>
    </row>
    <row r="51" spans="1:10" ht="19.5" customHeight="1" x14ac:dyDescent="0.25">
      <c r="A51" s="771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443</v>
      </c>
      <c r="B53" s="239"/>
      <c r="C53" s="239"/>
      <c r="D53" s="772" t="s">
        <v>444</v>
      </c>
      <c r="E53" s="772"/>
      <c r="F53" s="772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02" t="s">
        <v>445</v>
      </c>
      <c r="B55" s="802"/>
      <c r="C55" s="802"/>
      <c r="D55" s="802"/>
      <c r="E55" s="802"/>
      <c r="F55" s="802"/>
      <c r="G55" s="802"/>
      <c r="H55" s="802"/>
      <c r="I55" s="802"/>
    </row>
    <row r="56" spans="1:10" ht="15.9" customHeight="1" x14ac:dyDescent="0.25"/>
    <row r="57" spans="1:10" ht="15.9" customHeight="1" x14ac:dyDescent="0.25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B11:C11"/>
    <mergeCell ref="D11:E11"/>
    <mergeCell ref="F11:G11"/>
    <mergeCell ref="A7:I7"/>
    <mergeCell ref="A8:I8"/>
    <mergeCell ref="B10:C10"/>
    <mergeCell ref="D10:E10"/>
    <mergeCell ref="F10:G10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33" t="s">
        <v>2</v>
      </c>
      <c r="B6" s="833"/>
      <c r="C6" s="833"/>
      <c r="D6" s="833"/>
      <c r="E6" s="833"/>
      <c r="F6" s="833"/>
      <c r="G6" s="833"/>
      <c r="H6" s="833"/>
      <c r="I6" s="833"/>
      <c r="J6" s="833"/>
      <c r="K6" s="833"/>
      <c r="L6" s="833"/>
      <c r="M6" s="833"/>
      <c r="Z6" s="315"/>
    </row>
    <row r="7" spans="1:26" ht="15.75" customHeight="1" x14ac:dyDescent="0.25">
      <c r="A7" s="834">
        <v>1</v>
      </c>
      <c r="B7" s="834"/>
      <c r="C7" s="834"/>
      <c r="D7" s="834"/>
      <c r="E7" s="834"/>
      <c r="F7" s="834"/>
      <c r="G7" s="834"/>
      <c r="H7" s="834"/>
      <c r="I7" s="834"/>
      <c r="J7" s="834"/>
      <c r="K7" s="834"/>
      <c r="L7" s="834"/>
      <c r="M7" s="834"/>
    </row>
    <row r="8" spans="1:26" ht="8.25" customHeight="1" x14ac:dyDescent="0.25"/>
    <row r="9" spans="1:26" ht="15" customHeight="1" x14ac:dyDescent="0.25">
      <c r="A9" s="281" t="s">
        <v>357</v>
      </c>
      <c r="B9" s="247" t="s">
        <v>0</v>
      </c>
      <c r="C9" s="644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299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356</v>
      </c>
      <c r="L10" s="835">
        <v>1</v>
      </c>
      <c r="M10" s="835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36"/>
      <c r="M11" s="836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7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46" t="s">
        <v>128</v>
      </c>
      <c r="B14" s="847"/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8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49" t="s">
        <v>131</v>
      </c>
      <c r="B15" s="850"/>
      <c r="C15" s="850"/>
      <c r="D15" s="850"/>
      <c r="E15" s="850"/>
      <c r="F15" s="850"/>
      <c r="G15" s="850"/>
      <c r="H15" s="850"/>
      <c r="I15" s="850"/>
      <c r="J15" s="850"/>
      <c r="K15" s="850"/>
      <c r="L15" s="850"/>
      <c r="M15" s="851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300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56">
        <v>1</v>
      </c>
      <c r="M18" s="857"/>
      <c r="Y18" s="320"/>
    </row>
    <row r="19" spans="1:29" ht="15" customHeight="1" x14ac:dyDescent="0.25">
      <c r="A19" s="350" t="s">
        <v>359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36"/>
      <c r="M19" s="858"/>
      <c r="Y19" s="320"/>
    </row>
    <row r="20" spans="1:29" ht="15" customHeight="1" x14ac:dyDescent="0.25">
      <c r="A20" s="350" t="s">
        <v>360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36"/>
      <c r="M20" s="858"/>
      <c r="Y20" s="320"/>
    </row>
    <row r="21" spans="1:29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52" t="s">
        <v>353</v>
      </c>
      <c r="E23" s="853"/>
      <c r="F23" s="843" t="s">
        <v>276</v>
      </c>
      <c r="G23" s="843" t="s">
        <v>346</v>
      </c>
      <c r="H23" s="843" t="s">
        <v>275</v>
      </c>
      <c r="I23" s="337"/>
      <c r="J23" s="838" t="s">
        <v>146</v>
      </c>
      <c r="K23" s="839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54" t="s">
        <v>278</v>
      </c>
      <c r="AB23" s="855"/>
      <c r="AC23" s="843" t="s">
        <v>275</v>
      </c>
    </row>
    <row r="24" spans="1:29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4"/>
      <c r="G24" s="844"/>
      <c r="H24" s="844"/>
      <c r="I24" s="337"/>
      <c r="J24" s="840"/>
      <c r="K24" s="841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267</v>
      </c>
      <c r="AB24" s="380" t="s">
        <v>12</v>
      </c>
      <c r="AC24" s="844"/>
    </row>
    <row r="25" spans="1:29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268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269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5"/>
      <c r="L28" s="645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5"/>
      <c r="L29" s="645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6"/>
      <c r="L30" s="646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45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45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b">
        <f>+datos!F44</f>
        <v>0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3" t="s">
        <v>308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3" t="s">
        <v>295</v>
      </c>
      <c r="B59" s="643"/>
      <c r="C59" s="643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42" t="s">
        <v>296</v>
      </c>
      <c r="B60" s="842"/>
      <c r="C60" s="842"/>
      <c r="D60" s="842"/>
      <c r="E60" s="842"/>
      <c r="F60" s="842"/>
      <c r="G60" s="842"/>
      <c r="H60" s="842"/>
      <c r="I60" s="842"/>
      <c r="J60" s="842"/>
      <c r="K60" s="842"/>
      <c r="L60" s="842"/>
      <c r="M60" s="842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3" t="s">
        <v>297</v>
      </c>
      <c r="B61" s="643"/>
      <c r="C61" s="643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42" t="s">
        <v>355</v>
      </c>
      <c r="B62" s="842"/>
      <c r="C62" s="842"/>
      <c r="D62" s="842"/>
      <c r="E62" s="842"/>
      <c r="F62" s="842"/>
      <c r="G62" s="842"/>
      <c r="H62" s="842"/>
      <c r="I62" s="842"/>
      <c r="J62" s="842"/>
      <c r="K62" s="842"/>
      <c r="L62" s="842"/>
      <c r="M62" s="842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37" t="s">
        <v>362</v>
      </c>
      <c r="B65" s="837"/>
      <c r="C65" s="837"/>
      <c r="D65" s="837"/>
      <c r="E65" s="337"/>
      <c r="F65" s="337"/>
      <c r="G65" s="337"/>
      <c r="H65" s="337"/>
      <c r="I65" s="337"/>
      <c r="J65" s="337"/>
      <c r="K65" s="337"/>
      <c r="L65" s="482" t="s">
        <v>298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zoomScaleNormal="100" zoomScaleSheetLayoutView="100" workbookViewId="0">
      <selection activeCell="G17" sqref="G17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33" t="s">
        <v>2</v>
      </c>
      <c r="B6" s="833"/>
      <c r="C6" s="833"/>
      <c r="D6" s="833"/>
      <c r="E6" s="833"/>
      <c r="F6" s="833"/>
      <c r="G6" s="833"/>
      <c r="H6" s="833"/>
      <c r="I6" s="833"/>
      <c r="J6" s="833"/>
      <c r="K6" s="833"/>
      <c r="L6" s="833"/>
      <c r="Y6" s="315"/>
    </row>
    <row r="7" spans="1:25" ht="15.75" customHeight="1" x14ac:dyDescent="0.25">
      <c r="A7" s="859">
        <v>1</v>
      </c>
      <c r="B7" s="859"/>
      <c r="C7" s="859"/>
      <c r="D7" s="859"/>
      <c r="E7" s="859"/>
      <c r="F7" s="859"/>
      <c r="G7" s="859"/>
      <c r="H7" s="859"/>
      <c r="I7" s="859"/>
      <c r="J7" s="859"/>
      <c r="K7" s="859"/>
      <c r="L7" s="859"/>
    </row>
    <row r="8" spans="1:25" ht="8.25" customHeight="1" x14ac:dyDescent="0.25"/>
    <row r="9" spans="1:25" ht="15" customHeight="1" x14ac:dyDescent="0.25">
      <c r="A9" s="281" t="s">
        <v>357</v>
      </c>
      <c r="B9" s="247" t="s">
        <v>0</v>
      </c>
      <c r="C9" s="644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299</v>
      </c>
      <c r="B10" s="247" t="s">
        <v>0</v>
      </c>
      <c r="C10" s="644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356</v>
      </c>
      <c r="L10" s="723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4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382</v>
      </c>
      <c r="L11" s="723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4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1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7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46" t="s">
        <v>128</v>
      </c>
      <c r="B14" s="847"/>
      <c r="C14" s="847"/>
      <c r="D14" s="847"/>
      <c r="E14" s="847"/>
      <c r="F14" s="847"/>
      <c r="G14" s="847"/>
      <c r="H14" s="847"/>
      <c r="I14" s="847"/>
      <c r="J14" s="847"/>
      <c r="K14" s="847"/>
      <c r="L14" s="848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49" t="s">
        <v>466</v>
      </c>
      <c r="B15" s="850"/>
      <c r="C15" s="850"/>
      <c r="D15" s="850"/>
      <c r="E15" s="850"/>
      <c r="F15" s="850"/>
      <c r="G15" s="850"/>
      <c r="H15" s="850"/>
      <c r="I15" s="850"/>
      <c r="J15" s="850"/>
      <c r="K15" s="850"/>
      <c r="L15" s="851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49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0"/>
      <c r="X17" s="320"/>
    </row>
    <row r="18" spans="1:28" ht="15" customHeight="1" x14ac:dyDescent="0.25">
      <c r="A18" s="350" t="s">
        <v>300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4">
        <f>+FORMATO!M11</f>
        <v>0</v>
      </c>
      <c r="X18" s="320"/>
    </row>
    <row r="19" spans="1:28" ht="15" customHeight="1" x14ac:dyDescent="0.25">
      <c r="A19" s="350" t="s">
        <v>359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3">
        <f>+FORMATO!M12</f>
        <v>0</v>
      </c>
      <c r="X19" s="320"/>
    </row>
    <row r="20" spans="1:28" ht="15" customHeight="1" x14ac:dyDescent="0.25">
      <c r="A20" s="350" t="s">
        <v>360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3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52" t="s">
        <v>353</v>
      </c>
      <c r="E23" s="853"/>
      <c r="F23" s="843" t="s">
        <v>276</v>
      </c>
      <c r="G23" s="843" t="s">
        <v>346</v>
      </c>
      <c r="H23" s="843" t="s">
        <v>275</v>
      </c>
      <c r="I23" s="337"/>
      <c r="J23" s="838" t="s">
        <v>146</v>
      </c>
      <c r="K23" s="839"/>
      <c r="L23" s="651"/>
      <c r="M23" s="320"/>
      <c r="N23" s="838" t="s">
        <v>146</v>
      </c>
      <c r="O23" s="839"/>
      <c r="P23" s="320"/>
      <c r="Q23" s="320"/>
      <c r="R23" s="320"/>
      <c r="S23" s="320"/>
      <c r="T23" s="320"/>
      <c r="U23" s="320"/>
      <c r="V23" s="320"/>
      <c r="W23" s="320"/>
      <c r="X23" s="332"/>
      <c r="Z23" s="854" t="s">
        <v>278</v>
      </c>
      <c r="AA23" s="855"/>
      <c r="AB23" s="843" t="s">
        <v>275</v>
      </c>
    </row>
    <row r="24" spans="1:28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4"/>
      <c r="G24" s="844"/>
      <c r="H24" s="844"/>
      <c r="I24" s="337"/>
      <c r="J24" s="840"/>
      <c r="K24" s="841"/>
      <c r="L24" s="651"/>
      <c r="M24" s="320"/>
      <c r="N24" s="840"/>
      <c r="O24" s="841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267</v>
      </c>
      <c r="AA24" s="380" t="s">
        <v>12</v>
      </c>
      <c r="AB24" s="844"/>
    </row>
    <row r="25" spans="1:28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1" t="s">
        <v>381</v>
      </c>
      <c r="K25" s="864" t="e">
        <f>+datos!I21</f>
        <v>#DIV/0!</v>
      </c>
      <c r="L25" s="652"/>
      <c r="M25" s="334"/>
      <c r="N25" s="360" t="s">
        <v>268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2"/>
      <c r="K26" s="865"/>
      <c r="L26" s="652"/>
      <c r="M26" s="320"/>
      <c r="N26" s="360" t="s">
        <v>269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3"/>
      <c r="K27" s="866"/>
      <c r="L27" s="648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5"/>
      <c r="L28" s="653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5"/>
      <c r="L29" s="653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6"/>
      <c r="L30" s="654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5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6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6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b">
        <f>+datos!F44</f>
        <v>0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7" t="s">
        <v>467</v>
      </c>
      <c r="B58" s="867"/>
      <c r="C58" s="867"/>
      <c r="D58" s="867"/>
      <c r="E58" s="867"/>
      <c r="F58" s="867"/>
      <c r="G58" s="867"/>
      <c r="H58" s="867"/>
      <c r="I58" s="867"/>
      <c r="J58" s="867"/>
      <c r="K58" s="867"/>
      <c r="L58" s="867"/>
      <c r="Y58" s="386"/>
    </row>
    <row r="59" spans="1:25" ht="26.4" customHeight="1" x14ac:dyDescent="0.25">
      <c r="A59" s="860" t="s">
        <v>468</v>
      </c>
      <c r="B59" s="860"/>
      <c r="C59" s="860"/>
      <c r="D59" s="860"/>
      <c r="E59" s="860"/>
      <c r="F59" s="860"/>
      <c r="G59" s="860"/>
      <c r="H59" s="860"/>
      <c r="I59" s="860"/>
      <c r="J59" s="860"/>
      <c r="K59" s="860"/>
      <c r="L59" s="860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60" t="s">
        <v>469</v>
      </c>
      <c r="B60" s="860"/>
      <c r="C60" s="860"/>
      <c r="D60" s="860"/>
      <c r="E60" s="860"/>
      <c r="F60" s="860"/>
      <c r="G60" s="860"/>
      <c r="H60" s="860"/>
      <c r="I60" s="860"/>
      <c r="J60" s="860"/>
      <c r="K60" s="860"/>
      <c r="L60" s="860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5" customHeight="1" x14ac:dyDescent="0.25">
      <c r="A61" s="860" t="s">
        <v>470</v>
      </c>
      <c r="B61" s="860"/>
      <c r="C61" s="860"/>
      <c r="D61" s="860"/>
      <c r="E61" s="860"/>
      <c r="F61" s="860"/>
      <c r="G61" s="860"/>
      <c r="H61" s="860"/>
      <c r="I61" s="860"/>
      <c r="J61" s="860"/>
      <c r="K61" s="860"/>
      <c r="L61" s="860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42" t="s">
        <v>471</v>
      </c>
      <c r="B62" s="842"/>
      <c r="C62" s="842"/>
      <c r="D62" s="842"/>
      <c r="E62" s="842"/>
      <c r="F62" s="842"/>
      <c r="G62" s="842"/>
      <c r="H62" s="842"/>
      <c r="I62" s="842"/>
      <c r="J62" s="842"/>
      <c r="K62" s="842"/>
      <c r="L62" s="842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37" t="s">
        <v>472</v>
      </c>
      <c r="B65" s="837"/>
      <c r="C65" s="837"/>
      <c r="D65" s="837"/>
      <c r="E65" s="337"/>
      <c r="F65" s="337"/>
      <c r="G65" s="337"/>
      <c r="H65" s="337"/>
      <c r="I65" s="337"/>
      <c r="J65" s="337"/>
      <c r="K65" s="337"/>
      <c r="L65" s="700" t="s">
        <v>298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algorithmName="SHA-512" hashValue="KjtFbqj+awez3nmatvXTUhptncqa0fiqLEcNeKt9ZefP5nQ0wKPn4zyew27CVx8kYZExrWI41Hc5CswZkRF15g==" saltValue="BBTqcofuNsnULRTF5jK1Lw==" spinCount="100000" sheet="1"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  <mergeCell ref="A6:L6"/>
    <mergeCell ref="A7:L7"/>
    <mergeCell ref="A14:L14"/>
    <mergeCell ref="A15:L15"/>
    <mergeCell ref="Z23:AA23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abSelected="1" topLeftCell="A2" zoomScale="115" zoomScaleNormal="115" zoomScaleSheetLayoutView="100" workbookViewId="0">
      <selection activeCell="C10" sqref="C10:D10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46" t="s">
        <v>128</v>
      </c>
      <c r="C1" s="847"/>
      <c r="D1" s="847"/>
      <c r="E1" s="847"/>
      <c r="F1" s="847"/>
      <c r="G1" s="847"/>
      <c r="H1" s="847"/>
      <c r="I1" s="847"/>
      <c r="J1" s="847"/>
      <c r="K1" s="847"/>
      <c r="L1" s="848"/>
    </row>
    <row r="2" spans="1:14" ht="18" customHeight="1" x14ac:dyDescent="0.25">
      <c r="A2" s="470"/>
      <c r="B2" s="849" t="s">
        <v>383</v>
      </c>
      <c r="C2" s="850"/>
      <c r="D2" s="850"/>
      <c r="E2" s="850"/>
      <c r="F2" s="850"/>
      <c r="G2" s="850"/>
      <c r="H2" s="850"/>
      <c r="I2" s="850"/>
      <c r="J2" s="850"/>
      <c r="K2" s="850"/>
      <c r="L2" s="851"/>
    </row>
    <row r="3" spans="1:14" ht="18" customHeight="1" x14ac:dyDescent="0.25">
      <c r="A3" s="470"/>
      <c r="B3" s="720" t="s">
        <v>304</v>
      </c>
      <c r="C3" s="608"/>
      <c r="D3" s="609"/>
      <c r="E3" s="609"/>
      <c r="F3" s="609"/>
      <c r="G3" s="609"/>
      <c r="H3" s="609"/>
      <c r="I3" s="540"/>
      <c r="J3" s="540"/>
      <c r="K3" s="540"/>
      <c r="L3" s="541"/>
    </row>
    <row r="4" spans="1:14" ht="18" customHeight="1" x14ac:dyDescent="0.25">
      <c r="A4" s="470"/>
      <c r="B4" s="721" t="s">
        <v>305</v>
      </c>
      <c r="C4" s="790"/>
      <c r="D4" s="47"/>
      <c r="E4" s="790"/>
      <c r="F4" s="790"/>
      <c r="G4" s="791"/>
      <c r="H4" s="790"/>
      <c r="I4" s="792"/>
      <c r="J4" s="792"/>
      <c r="K4" s="792"/>
      <c r="L4" s="490"/>
    </row>
    <row r="5" spans="1:14" ht="18" customHeight="1" x14ac:dyDescent="0.25">
      <c r="A5" s="470"/>
      <c r="B5" s="721" t="s">
        <v>306</v>
      </c>
      <c r="C5" s="790"/>
      <c r="D5" s="793">
        <f>+Balanza!B8</f>
        <v>-3.2899999999999998E-6</v>
      </c>
      <c r="E5" s="790"/>
      <c r="F5" s="790"/>
      <c r="G5" s="791"/>
      <c r="H5" s="790"/>
      <c r="I5" s="792"/>
      <c r="J5" s="792"/>
      <c r="K5" s="792"/>
      <c r="L5" s="490"/>
    </row>
    <row r="6" spans="1:14" ht="18" customHeight="1" x14ac:dyDescent="0.25">
      <c r="A6" s="470"/>
      <c r="B6" s="721" t="s">
        <v>104</v>
      </c>
      <c r="C6" s="47"/>
      <c r="D6" s="794" t="str">
        <f>+Balanza!B12</f>
        <v>EQP-0046</v>
      </c>
      <c r="E6" s="795"/>
      <c r="F6" s="795"/>
      <c r="G6" s="47"/>
      <c r="H6" s="790"/>
      <c r="I6" s="792"/>
      <c r="J6" s="792"/>
      <c r="K6" s="792"/>
      <c r="L6" s="490"/>
    </row>
    <row r="7" spans="1:14" ht="18" customHeight="1" x14ac:dyDescent="0.25">
      <c r="A7" s="470"/>
      <c r="B7" s="722" t="s">
        <v>105</v>
      </c>
      <c r="C7" s="610"/>
      <c r="D7" s="796">
        <v>46132</v>
      </c>
      <c r="E7" s="611"/>
      <c r="F7" s="611"/>
      <c r="G7" s="612"/>
      <c r="H7" s="612"/>
      <c r="I7" s="788"/>
      <c r="J7" s="788"/>
      <c r="K7" s="788"/>
      <c r="L7" s="789"/>
    </row>
    <row r="8" spans="1:14" ht="8.4" customHeight="1" x14ac:dyDescent="0.25">
      <c r="A8" s="470"/>
      <c r="B8" s="470"/>
      <c r="C8" s="613"/>
      <c r="D8" s="613"/>
      <c r="E8" s="614"/>
      <c r="F8" s="614"/>
      <c r="G8" s="614"/>
      <c r="H8" s="614"/>
      <c r="I8" s="614"/>
      <c r="J8" s="614"/>
      <c r="K8" s="614"/>
      <c r="L8" s="614"/>
    </row>
    <row r="9" spans="1:14" ht="18" customHeight="1" x14ac:dyDescent="0.25">
      <c r="A9" s="470"/>
      <c r="B9" s="439" t="s">
        <v>332</v>
      </c>
      <c r="C9" s="883" t="inlineStr">
        <is>
          <t>-</t>
        </is>
      </c>
      <c r="D9" s="884"/>
      <c r="F9" s="579" t="s">
        <v>354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3" t="inlineStr">
        <is>
          <t>-</t>
        </is>
      </c>
      <c r="D10" s="884"/>
      <c r="F10" s="707" t="inlineStr">
        <is>
          <t>-</t>
        </is>
      </c>
      <c r="G10" s="470"/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15"/>
      <c r="D11" s="615"/>
      <c r="E11" s="470"/>
      <c r="F11" s="470"/>
      <c r="G11" s="470"/>
      <c r="H11" s="470"/>
      <c r="I11" s="470"/>
      <c r="J11" s="470"/>
      <c r="K11" s="470"/>
      <c r="L11" s="616"/>
      <c r="M11" s="440"/>
      <c r="N11" s="440"/>
    </row>
    <row r="12" spans="1:14" ht="18" customHeight="1" x14ac:dyDescent="0.25">
      <c r="A12" s="470"/>
      <c r="B12" s="874" t="s">
        <v>282</v>
      </c>
      <c r="C12" s="875"/>
      <c r="D12" s="875"/>
      <c r="E12" s="876"/>
      <c r="F12" s="470"/>
      <c r="G12" s="877" t="s">
        <v>21</v>
      </c>
      <c r="H12" s="878"/>
      <c r="I12" s="879"/>
      <c r="J12" s="470"/>
      <c r="K12" s="470"/>
      <c r="L12" s="616"/>
      <c r="M12" s="440"/>
      <c r="N12" s="440"/>
    </row>
    <row r="13" spans="1:14" ht="18" customHeight="1" x14ac:dyDescent="0.25">
      <c r="A13" s="470"/>
      <c r="B13" s="617"/>
      <c r="C13" s="542" t="s">
        <v>280</v>
      </c>
      <c r="D13" s="542" t="s">
        <v>257</v>
      </c>
      <c r="E13" s="542" t="s">
        <v>281</v>
      </c>
      <c r="F13" s="616"/>
      <c r="G13" s="473"/>
      <c r="H13" s="474" t="s">
        <v>283</v>
      </c>
      <c r="I13" s="474" t="s">
        <v>257</v>
      </c>
      <c r="J13" s="470"/>
      <c r="K13" s="470"/>
      <c r="L13" s="616"/>
      <c r="M13" s="440"/>
      <c r="N13" s="440"/>
    </row>
    <row r="14" spans="1:14" ht="18" customHeight="1" x14ac:dyDescent="0.25">
      <c r="B14" s="580" t="s">
        <v>22</v>
      </c>
      <c r="C14" s="560">
        <f>+FORMATO!D30</f>
        <v>0</v>
      </c>
      <c r="D14" s="561">
        <f>C14+($D$5*C14)</f>
        <v>0</v>
      </c>
      <c r="E14" s="562">
        <f>D14</f>
        <v>0</v>
      </c>
      <c r="F14" s="618">
        <f>SUM(E28:E45)</f>
        <v>0</v>
      </c>
      <c r="G14" s="581" t="s">
        <v>284</v>
      </c>
      <c r="H14" s="538">
        <f>+IF(C10="Global",FORMATO!D21,FORMATO!D35)</f>
        <v>0</v>
      </c>
      <c r="I14" s="442">
        <f>H14+($D$5*H14)</f>
        <v>0</v>
      </c>
      <c r="J14" s="616"/>
      <c r="K14" s="616"/>
      <c r="L14" s="616"/>
      <c r="M14" s="443"/>
      <c r="N14" s="440"/>
    </row>
    <row r="15" spans="1:14" ht="18" customHeight="1" x14ac:dyDescent="0.25">
      <c r="B15" s="582" t="s">
        <v>23</v>
      </c>
      <c r="C15" s="563">
        <f>+FORMATO!D33</f>
        <v>0</v>
      </c>
      <c r="D15" s="564">
        <f>C15+($D$5*C15)</f>
        <v>0</v>
      </c>
      <c r="E15" s="565" t="e">
        <f>D15/(1+I16/100)</f>
        <v>#DIV/0!</v>
      </c>
      <c r="F15" s="619"/>
      <c r="G15" s="583" t="s">
        <v>285</v>
      </c>
      <c r="H15" s="538">
        <f>+IF(C10="Global",FORMATO!D22,FORMATO!D36)</f>
        <v>0</v>
      </c>
      <c r="I15" s="444">
        <f>H15+($D$5*H15)</f>
        <v>0</v>
      </c>
      <c r="J15" s="616"/>
      <c r="K15" s="621"/>
      <c r="L15" s="621"/>
      <c r="M15" s="445"/>
      <c r="N15" s="440"/>
    </row>
    <row r="16" spans="1:14" ht="18" customHeight="1" x14ac:dyDescent="0.25">
      <c r="B16" s="584" t="s">
        <v>24</v>
      </c>
      <c r="C16" s="447"/>
      <c r="D16" s="448"/>
      <c r="E16" s="559" t="e">
        <f>SUM(E14:E15)</f>
        <v>#DIV/0!</v>
      </c>
      <c r="F16" s="620" t="b">
        <f>IF(C10="Global",H15,IF(C10="Fraccionada",E16))</f>
        <v>0</v>
      </c>
      <c r="G16" s="585" t="s">
        <v>286</v>
      </c>
      <c r="H16" s="586" t="e">
        <f>((H14-H15)/H15)*100</f>
        <v>#DIV/0!</v>
      </c>
      <c r="I16" s="450" t="e">
        <f>((I14-I15)/I15)*100</f>
        <v>#DIV/0!</v>
      </c>
      <c r="J16" s="616"/>
      <c r="K16" s="621"/>
      <c r="L16" s="616"/>
      <c r="M16" s="445"/>
    </row>
    <row r="17" spans="1:22" ht="6.6" customHeight="1" x14ac:dyDescent="0.25">
      <c r="A17" s="622"/>
      <c r="B17" s="470"/>
      <c r="C17" s="470"/>
      <c r="D17" s="470"/>
      <c r="E17" s="470"/>
      <c r="F17" s="470"/>
      <c r="G17" s="470"/>
      <c r="H17" s="470"/>
      <c r="I17" s="470"/>
      <c r="J17" s="616"/>
      <c r="K17" s="621"/>
      <c r="L17" s="616"/>
      <c r="M17" s="440"/>
    </row>
    <row r="18" spans="1:22" ht="21" customHeight="1" x14ac:dyDescent="0.25">
      <c r="A18" s="622"/>
      <c r="B18" s="874" t="s">
        <v>25</v>
      </c>
      <c r="C18" s="875"/>
      <c r="D18" s="875"/>
      <c r="E18" s="876"/>
      <c r="F18" s="470"/>
      <c r="G18" s="470"/>
      <c r="H18" s="881" t="s">
        <v>146</v>
      </c>
      <c r="I18" s="882"/>
      <c r="J18" s="616"/>
      <c r="K18" s="621"/>
      <c r="L18" s="616"/>
    </row>
    <row r="19" spans="1:22" ht="18" customHeight="1" x14ac:dyDescent="0.25">
      <c r="A19" s="622"/>
      <c r="B19" s="452" t="s">
        <v>290</v>
      </c>
      <c r="C19" s="475"/>
      <c r="D19" s="475"/>
      <c r="E19" s="453" t="b">
        <f>IF(C9="Grueso",F14,F16)</f>
        <v>0</v>
      </c>
      <c r="F19" s="470"/>
      <c r="G19" s="470"/>
      <c r="H19" s="458" t="s">
        <v>268</v>
      </c>
      <c r="I19" s="459" t="e">
        <f>IF(C9="Fino","- -",T39)</f>
        <v>#DIV/0!</v>
      </c>
      <c r="J19" s="616"/>
      <c r="K19" s="471"/>
      <c r="L19" s="616"/>
      <c r="N19" s="440"/>
    </row>
    <row r="20" spans="1:22" ht="18" customHeight="1" x14ac:dyDescent="0.25">
      <c r="A20" s="622"/>
      <c r="B20" s="455" t="s">
        <v>289</v>
      </c>
      <c r="C20" s="456"/>
      <c r="D20" s="456"/>
      <c r="E20" s="457" t="b">
        <f>IF(C10="Global","--",IF(C10="Fraccionada",I15))</f>
        <v>0</v>
      </c>
      <c r="F20" s="470"/>
      <c r="G20" s="470"/>
      <c r="H20" s="458" t="s">
        <v>269</v>
      </c>
      <c r="I20" s="459" t="e">
        <f>IF(C9="Fino","- -",P39)</f>
        <v>#DIV/0!</v>
      </c>
      <c r="J20" s="470"/>
      <c r="K20" s="470"/>
      <c r="L20" s="623"/>
    </row>
    <row r="21" spans="1:22" ht="18" customHeight="1" x14ac:dyDescent="0.25">
      <c r="A21" s="451"/>
      <c r="B21" s="587" t="s">
        <v>303</v>
      </c>
      <c r="C21" s="588"/>
      <c r="D21" s="588"/>
      <c r="E21" s="537">
        <f>+IF(C10="Global",FORMATO!D24,FORMATO!D39)</f>
        <v>0</v>
      </c>
      <c r="F21" s="774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6"/>
    </row>
    <row r="22" spans="1:22" ht="18" customHeight="1" x14ac:dyDescent="0.25">
      <c r="A22" s="622"/>
      <c r="B22" s="455" t="s">
        <v>302</v>
      </c>
      <c r="C22" s="624"/>
      <c r="D22" s="624"/>
      <c r="E22" s="457">
        <f>IF(C10="Global",SUM(E28:E45),SUM(E37:E45))</f>
        <v>0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2"/>
      <c r="B23" s="460" t="s">
        <v>287</v>
      </c>
      <c r="C23" s="625"/>
      <c r="D23" s="625"/>
      <c r="E23" s="626">
        <f>ABS(E21-E22)</f>
        <v>0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2"/>
      <c r="B24" s="446" t="s">
        <v>301</v>
      </c>
      <c r="C24" s="627"/>
      <c r="D24" s="627"/>
      <c r="E24" s="628" t="e">
        <f>E23/E21*100</f>
        <v>#DIV/0!</v>
      </c>
      <c r="F24" s="629" t="e">
        <f>+IF(E24&lt;=0.3,"cumple","no cumple")</f>
        <v>#DIV/0!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22"/>
      <c r="B25" s="477"/>
      <c r="C25" s="470"/>
      <c r="D25" s="470"/>
      <c r="E25" s="630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1"/>
      <c r="B26" s="880" t="s">
        <v>278</v>
      </c>
      <c r="C26" s="880"/>
      <c r="D26" s="632" t="s">
        <v>277</v>
      </c>
      <c r="E26" s="873" t="s">
        <v>100</v>
      </c>
      <c r="F26" s="871" t="s">
        <v>288</v>
      </c>
      <c r="G26" s="871" t="s">
        <v>345</v>
      </c>
      <c r="H26" s="871" t="s">
        <v>275</v>
      </c>
      <c r="I26" s="470"/>
      <c r="J26" s="470"/>
      <c r="K26" s="633"/>
      <c r="L26" s="633"/>
    </row>
    <row r="27" spans="1:22" ht="31.5" customHeight="1" x14ac:dyDescent="0.25">
      <c r="A27" s="634"/>
      <c r="B27" s="476" t="s">
        <v>267</v>
      </c>
      <c r="C27" s="476" t="s">
        <v>12</v>
      </c>
      <c r="D27" s="476" t="s">
        <v>28</v>
      </c>
      <c r="E27" s="873"/>
      <c r="F27" s="872"/>
      <c r="G27" s="872"/>
      <c r="H27" s="872"/>
      <c r="I27" s="470"/>
      <c r="J27" s="635"/>
      <c r="K27" s="633"/>
      <c r="L27" s="633"/>
      <c r="M27" s="708"/>
      <c r="N27" s="709"/>
      <c r="O27" s="709"/>
      <c r="P27" s="709"/>
      <c r="Q27" s="709"/>
      <c r="R27" s="709"/>
      <c r="S27" s="709"/>
      <c r="T27" s="709"/>
      <c r="U27" s="709"/>
      <c r="V27" s="710"/>
    </row>
    <row r="28" spans="1:22" ht="18" customHeight="1" x14ac:dyDescent="0.3">
      <c r="A28" s="634"/>
      <c r="B28" s="465">
        <v>3</v>
      </c>
      <c r="C28" s="462">
        <v>75</v>
      </c>
      <c r="D28" s="539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1"/>
      <c r="N28" s="589" t="e">
        <f t="shared" ref="N28:N36" si="1">IF(G28&gt;=5,1,0)</f>
        <v>#DIV/0!</v>
      </c>
      <c r="O28" s="589" t="e">
        <f>IF(N28=0,1,-0.5)</f>
        <v>#DIV/0!</v>
      </c>
      <c r="P28" s="589" t="e">
        <f>O28</f>
        <v>#DIV/0!</v>
      </c>
      <c r="Q28" s="590">
        <f t="shared" ref="Q28:Q36" si="2">+B28</f>
        <v>3</v>
      </c>
      <c r="R28" s="589">
        <f t="shared" ref="R28:R34" si="3">IF(D28&lt;100,1,0)</f>
        <v>1</v>
      </c>
      <c r="S28" s="589" t="e">
        <f t="shared" ref="S28:S36" si="4">IF(H28=100,1,-0.5)</f>
        <v>#DIV/0!</v>
      </c>
      <c r="T28" s="589" t="e">
        <f>S28</f>
        <v>#DIV/0!</v>
      </c>
      <c r="U28" s="590">
        <f>+Q28</f>
        <v>3</v>
      </c>
      <c r="V28" s="712"/>
    </row>
    <row r="29" spans="1:22" ht="18" customHeight="1" x14ac:dyDescent="0.3">
      <c r="A29" s="622"/>
      <c r="B29" s="466">
        <v>2.5</v>
      </c>
      <c r="C29" s="462">
        <v>63</v>
      </c>
      <c r="D29" s="539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1"/>
      <c r="N29" s="589" t="e">
        <f t="shared" si="1"/>
        <v>#DIV/0!</v>
      </c>
      <c r="O29" s="589" t="e">
        <f t="shared" ref="O29:O36" si="8">IF(N29=0,1,-0.5)</f>
        <v>#DIV/0!</v>
      </c>
      <c r="P29" s="589" t="e">
        <f t="shared" ref="P29:P36" si="9">P28+O29</f>
        <v>#DIV/0!</v>
      </c>
      <c r="Q29" s="590">
        <f t="shared" si="2"/>
        <v>2.5</v>
      </c>
      <c r="R29" s="589">
        <f t="shared" si="3"/>
        <v>1</v>
      </c>
      <c r="S29" s="589" t="e">
        <f t="shared" si="4"/>
        <v>#DIV/0!</v>
      </c>
      <c r="T29" s="589" t="e">
        <f t="shared" ref="T29:T36" si="10">T28+S29</f>
        <v>#DIV/0!</v>
      </c>
      <c r="U29" s="590">
        <f t="shared" ref="U29:U36" si="11">+Q29</f>
        <v>2.5</v>
      </c>
      <c r="V29" s="712"/>
    </row>
    <row r="30" spans="1:22" ht="18" customHeight="1" x14ac:dyDescent="0.3">
      <c r="A30" s="622"/>
      <c r="B30" s="465">
        <v>2</v>
      </c>
      <c r="C30" s="462">
        <v>50</v>
      </c>
      <c r="D30" s="539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1"/>
      <c r="N30" s="589" t="e">
        <f t="shared" si="1"/>
        <v>#DIV/0!</v>
      </c>
      <c r="O30" s="589" t="e">
        <f t="shared" si="8"/>
        <v>#DIV/0!</v>
      </c>
      <c r="P30" s="589" t="e">
        <f t="shared" si="9"/>
        <v>#DIV/0!</v>
      </c>
      <c r="Q30" s="590">
        <f t="shared" si="2"/>
        <v>2</v>
      </c>
      <c r="R30" s="589">
        <f t="shared" si="3"/>
        <v>1</v>
      </c>
      <c r="S30" s="589" t="e">
        <f t="shared" si="4"/>
        <v>#DIV/0!</v>
      </c>
      <c r="T30" s="589" t="e">
        <f t="shared" si="10"/>
        <v>#DIV/0!</v>
      </c>
      <c r="U30" s="590">
        <f t="shared" si="11"/>
        <v>2</v>
      </c>
      <c r="V30" s="712"/>
    </row>
    <row r="31" spans="1:22" ht="18" customHeight="1" x14ac:dyDescent="0.3">
      <c r="A31" s="622"/>
      <c r="B31" s="466">
        <v>1.5</v>
      </c>
      <c r="C31" s="467">
        <v>37.5</v>
      </c>
      <c r="D31" s="539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1"/>
      <c r="N31" s="589" t="e">
        <f t="shared" si="1"/>
        <v>#DIV/0!</v>
      </c>
      <c r="O31" s="589" t="e">
        <f t="shared" si="8"/>
        <v>#DIV/0!</v>
      </c>
      <c r="P31" s="589" t="e">
        <f t="shared" si="9"/>
        <v>#DIV/0!</v>
      </c>
      <c r="Q31" s="590">
        <f t="shared" si="2"/>
        <v>1.5</v>
      </c>
      <c r="R31" s="589">
        <f t="shared" si="3"/>
        <v>1</v>
      </c>
      <c r="S31" s="589" t="e">
        <f t="shared" si="4"/>
        <v>#DIV/0!</v>
      </c>
      <c r="T31" s="589" t="e">
        <f t="shared" si="10"/>
        <v>#DIV/0!</v>
      </c>
      <c r="U31" s="590">
        <f t="shared" si="11"/>
        <v>1.5</v>
      </c>
      <c r="V31" s="712"/>
    </row>
    <row r="32" spans="1:22" ht="18" customHeight="1" x14ac:dyDescent="0.3">
      <c r="A32" s="622"/>
      <c r="B32" s="465">
        <v>1</v>
      </c>
      <c r="C32" s="462">
        <v>25</v>
      </c>
      <c r="D32" s="539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1"/>
      <c r="N32" s="589" t="e">
        <f t="shared" si="1"/>
        <v>#DIV/0!</v>
      </c>
      <c r="O32" s="589" t="e">
        <f t="shared" si="8"/>
        <v>#DIV/0!</v>
      </c>
      <c r="P32" s="589" t="e">
        <f t="shared" si="9"/>
        <v>#DIV/0!</v>
      </c>
      <c r="Q32" s="590">
        <f t="shared" si="2"/>
        <v>1</v>
      </c>
      <c r="R32" s="589">
        <f t="shared" si="3"/>
        <v>1</v>
      </c>
      <c r="S32" s="589" t="e">
        <f t="shared" si="4"/>
        <v>#DIV/0!</v>
      </c>
      <c r="T32" s="589" t="e">
        <f t="shared" si="10"/>
        <v>#DIV/0!</v>
      </c>
      <c r="U32" s="590">
        <f t="shared" si="11"/>
        <v>1</v>
      </c>
      <c r="V32" s="712"/>
    </row>
    <row r="33" spans="1:22" ht="18" customHeight="1" x14ac:dyDescent="0.3">
      <c r="A33" s="622"/>
      <c r="B33" s="466">
        <v>0.75</v>
      </c>
      <c r="C33" s="462">
        <v>19</v>
      </c>
      <c r="D33" s="539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1"/>
      <c r="N33" s="589" t="e">
        <f t="shared" si="1"/>
        <v>#DIV/0!</v>
      </c>
      <c r="O33" s="589" t="e">
        <f t="shared" si="8"/>
        <v>#DIV/0!</v>
      </c>
      <c r="P33" s="589" t="e">
        <f t="shared" si="9"/>
        <v>#DIV/0!</v>
      </c>
      <c r="Q33" s="591">
        <f t="shared" si="2"/>
        <v>0.75</v>
      </c>
      <c r="R33" s="589">
        <f t="shared" si="3"/>
        <v>1</v>
      </c>
      <c r="S33" s="589" t="e">
        <f t="shared" si="4"/>
        <v>#DIV/0!</v>
      </c>
      <c r="T33" s="589" t="e">
        <f t="shared" si="10"/>
        <v>#DIV/0!</v>
      </c>
      <c r="U33" s="591">
        <f t="shared" si="11"/>
        <v>0.75</v>
      </c>
      <c r="V33" s="712"/>
    </row>
    <row r="34" spans="1:22" ht="18" customHeight="1" x14ac:dyDescent="0.3">
      <c r="A34" s="622"/>
      <c r="B34" s="466">
        <v>0.5</v>
      </c>
      <c r="C34" s="467">
        <v>12.5</v>
      </c>
      <c r="D34" s="539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7"/>
      <c r="J34" s="470"/>
      <c r="K34" s="470"/>
      <c r="L34" s="470"/>
      <c r="M34" s="711"/>
      <c r="N34" s="589" t="e">
        <f t="shared" si="1"/>
        <v>#DIV/0!</v>
      </c>
      <c r="O34" s="589" t="e">
        <f t="shared" si="8"/>
        <v>#DIV/0!</v>
      </c>
      <c r="P34" s="589" t="e">
        <f t="shared" si="9"/>
        <v>#DIV/0!</v>
      </c>
      <c r="Q34" s="591">
        <f t="shared" si="2"/>
        <v>0.5</v>
      </c>
      <c r="R34" s="589">
        <f t="shared" si="3"/>
        <v>1</v>
      </c>
      <c r="S34" s="589" t="e">
        <f t="shared" si="4"/>
        <v>#DIV/0!</v>
      </c>
      <c r="T34" s="589" t="e">
        <f t="shared" si="10"/>
        <v>#DIV/0!</v>
      </c>
      <c r="U34" s="591">
        <f t="shared" si="11"/>
        <v>0.5</v>
      </c>
      <c r="V34" s="712"/>
    </row>
    <row r="35" spans="1:22" ht="18" customHeight="1" x14ac:dyDescent="0.3">
      <c r="A35" s="622"/>
      <c r="B35" s="466">
        <v>0.375</v>
      </c>
      <c r="C35" s="467">
        <v>9.5</v>
      </c>
      <c r="D35" s="539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1"/>
      <c r="N35" s="589" t="e">
        <f t="shared" si="1"/>
        <v>#DIV/0!</v>
      </c>
      <c r="O35" s="589" t="e">
        <f t="shared" si="8"/>
        <v>#DIV/0!</v>
      </c>
      <c r="P35" s="589" t="e">
        <f t="shared" si="9"/>
        <v>#DIV/0!</v>
      </c>
      <c r="Q35" s="591">
        <f t="shared" si="2"/>
        <v>0.375</v>
      </c>
      <c r="R35" s="589"/>
      <c r="S35" s="589" t="e">
        <f t="shared" si="4"/>
        <v>#DIV/0!</v>
      </c>
      <c r="T35" s="589" t="e">
        <f t="shared" si="10"/>
        <v>#DIV/0!</v>
      </c>
      <c r="U35" s="591">
        <f t="shared" si="11"/>
        <v>0.375</v>
      </c>
      <c r="V35" s="712"/>
    </row>
    <row r="36" spans="1:22" ht="18" customHeight="1" x14ac:dyDescent="0.3">
      <c r="A36" s="622"/>
      <c r="B36" s="465" t="s">
        <v>20</v>
      </c>
      <c r="C36" s="461">
        <v>4.75</v>
      </c>
      <c r="D36" s="539">
        <f>+FORMATO!I26</f>
        <v>0</v>
      </c>
      <c r="E36" s="449">
        <f t="shared" si="5"/>
        <v>0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1"/>
      <c r="N36" s="589" t="e">
        <f t="shared" si="1"/>
        <v>#DIV/0!</v>
      </c>
      <c r="O36" s="589" t="e">
        <f t="shared" si="8"/>
        <v>#DIV/0!</v>
      </c>
      <c r="P36" s="589" t="e">
        <f t="shared" si="9"/>
        <v>#DIV/0!</v>
      </c>
      <c r="Q36" s="590" t="str">
        <f t="shared" si="2"/>
        <v>No4</v>
      </c>
      <c r="R36" s="589"/>
      <c r="S36" s="589" t="e">
        <f t="shared" si="4"/>
        <v>#DIV/0!</v>
      </c>
      <c r="T36" s="589" t="e">
        <f t="shared" si="10"/>
        <v>#DIV/0!</v>
      </c>
      <c r="U36" s="590" t="str">
        <f t="shared" si="11"/>
        <v>No4</v>
      </c>
      <c r="V36" s="712"/>
    </row>
    <row r="37" spans="1:22" ht="18" customHeight="1" x14ac:dyDescent="0.3">
      <c r="A37" s="622"/>
      <c r="B37" s="465">
        <v>8</v>
      </c>
      <c r="C37" s="461">
        <v>2.36</v>
      </c>
      <c r="D37" s="539">
        <f>+FORMATO!I27</f>
        <v>0</v>
      </c>
      <c r="E37" s="449">
        <f t="shared" si="5"/>
        <v>0</v>
      </c>
      <c r="F37" s="501" t="b">
        <f>IF($C$10="Fraccionada",E37*$H$36/E$20,IF($C$10="Global",E37/$E$19*100))</f>
        <v>0</v>
      </c>
      <c r="G37" s="502" t="e">
        <f t="shared" si="12"/>
        <v>#DIV/0!</v>
      </c>
      <c r="H37" s="501" t="e">
        <f t="shared" si="7"/>
        <v>#DIV/0!</v>
      </c>
      <c r="I37" s="470"/>
      <c r="J37" s="639"/>
      <c r="K37" s="470"/>
      <c r="L37" s="470"/>
      <c r="M37" s="711"/>
      <c r="N37" s="589" t="e">
        <f>SUM(N28:N36)</f>
        <v>#DIV/0!</v>
      </c>
      <c r="O37" s="589"/>
      <c r="P37" s="589"/>
      <c r="Q37" s="590"/>
      <c r="R37" s="589"/>
      <c r="S37" s="589"/>
      <c r="T37" s="589"/>
      <c r="U37" s="590"/>
      <c r="V37" s="712"/>
    </row>
    <row r="38" spans="1:22" ht="18" customHeight="1" x14ac:dyDescent="0.3">
      <c r="A38" s="622"/>
      <c r="B38" s="465">
        <v>10</v>
      </c>
      <c r="C38" s="462">
        <v>2</v>
      </c>
      <c r="D38" s="539">
        <f>+FORMATO!I28</f>
        <v>0</v>
      </c>
      <c r="E38" s="449">
        <f t="shared" si="5"/>
        <v>0</v>
      </c>
      <c r="F38" s="501" t="b">
        <f>IF($C$10="Fraccionada",E38*$H$36/E$20,IF($C$10="Global",E38/$E$19*100))</f>
        <v>0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1"/>
      <c r="N38" s="713"/>
      <c r="O38" s="589" t="s">
        <v>72</v>
      </c>
      <c r="P38" s="589" t="e">
        <f>MAX(P28:P36)</f>
        <v>#DIV/0!</v>
      </c>
      <c r="Q38" s="713"/>
      <c r="R38" s="714"/>
      <c r="S38" s="589" t="s">
        <v>72</v>
      </c>
      <c r="T38" s="589" t="e">
        <f>MAX(T28:T36)</f>
        <v>#DIV/0!</v>
      </c>
      <c r="U38" s="714"/>
      <c r="V38" s="712"/>
    </row>
    <row r="39" spans="1:22" ht="18" customHeight="1" x14ac:dyDescent="0.3">
      <c r="A39" s="622"/>
      <c r="B39" s="465">
        <v>16</v>
      </c>
      <c r="C39" s="461">
        <v>1.18</v>
      </c>
      <c r="D39" s="539">
        <f>+FORMATO!I29</f>
        <v>0</v>
      </c>
      <c r="E39" s="449">
        <f t="shared" si="5"/>
        <v>0</v>
      </c>
      <c r="F39" s="501" t="b">
        <f t="shared" ref="F39:F45" si="13">IF($C$10="Fraccionada",E39*$H$36/E$20,IF($C$10="Global",E39/$E$19*100))</f>
        <v>0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1"/>
      <c r="N39" s="713"/>
      <c r="O39" s="589" t="s">
        <v>65</v>
      </c>
      <c r="P39" s="589" t="e">
        <f>IF(N37=0,"&lt;No .4",VLOOKUP(1,N28:Q36,4,0))</f>
        <v>#DIV/0!</v>
      </c>
      <c r="Q39" s="713"/>
      <c r="R39" s="714"/>
      <c r="S39" s="589" t="s">
        <v>73</v>
      </c>
      <c r="T39" s="589" t="e">
        <f>VLOOKUP(T38,T28:U36,2,0)</f>
        <v>#DIV/0!</v>
      </c>
      <c r="U39" s="714"/>
      <c r="V39" s="712"/>
    </row>
    <row r="40" spans="1:22" ht="18" customHeight="1" x14ac:dyDescent="0.25">
      <c r="A40" s="622"/>
      <c r="B40" s="465">
        <v>30</v>
      </c>
      <c r="C40" s="468">
        <v>0.6</v>
      </c>
      <c r="D40" s="539">
        <f>+FORMATO!I30</f>
        <v>0</v>
      </c>
      <c r="E40" s="449">
        <f t="shared" si="5"/>
        <v>0</v>
      </c>
      <c r="F40" s="501" t="b">
        <f t="shared" si="13"/>
        <v>0</v>
      </c>
      <c r="G40" s="502" t="e">
        <f t="shared" si="12"/>
        <v>#DIV/0!</v>
      </c>
      <c r="H40" s="501" t="e">
        <f t="shared" si="7"/>
        <v>#DIV/0!</v>
      </c>
      <c r="I40" s="470"/>
      <c r="J40" s="633"/>
      <c r="K40" s="470"/>
      <c r="L40" s="470"/>
      <c r="M40" s="715"/>
      <c r="N40" s="716"/>
      <c r="Q40" s="716"/>
      <c r="V40" s="712"/>
    </row>
    <row r="41" spans="1:22" ht="18" customHeight="1" x14ac:dyDescent="0.3">
      <c r="A41" s="622"/>
      <c r="B41" s="465">
        <v>40</v>
      </c>
      <c r="C41" s="468">
        <v>0.42499999999999999</v>
      </c>
      <c r="D41" s="539">
        <f>+FORMATO!I31</f>
        <v>0</v>
      </c>
      <c r="E41" s="449">
        <f t="shared" si="5"/>
        <v>0</v>
      </c>
      <c r="F41" s="501" t="b">
        <f t="shared" si="13"/>
        <v>0</v>
      </c>
      <c r="G41" s="502" t="e">
        <f t="shared" si="12"/>
        <v>#DIV/0!</v>
      </c>
      <c r="H41" s="501" t="e">
        <f t="shared" si="7"/>
        <v>#DIV/0!</v>
      </c>
      <c r="I41" s="470"/>
      <c r="J41" s="633"/>
      <c r="K41" s="83"/>
      <c r="L41" s="85"/>
      <c r="M41" s="717"/>
      <c r="N41" s="718"/>
      <c r="O41" s="718"/>
      <c r="P41" s="718"/>
      <c r="Q41" s="718"/>
      <c r="R41" s="718"/>
      <c r="S41" s="718"/>
      <c r="T41" s="718"/>
      <c r="U41" s="718"/>
      <c r="V41" s="719"/>
    </row>
    <row r="42" spans="1:22" ht="18" customHeight="1" x14ac:dyDescent="0.25">
      <c r="A42" s="622"/>
      <c r="B42" s="465">
        <v>50</v>
      </c>
      <c r="C42" s="468">
        <v>0.3</v>
      </c>
      <c r="D42" s="539">
        <f>+FORMATO!I32</f>
        <v>0</v>
      </c>
      <c r="E42" s="449">
        <f t="shared" si="5"/>
        <v>0</v>
      </c>
      <c r="F42" s="501" t="b">
        <f t="shared" si="13"/>
        <v>0</v>
      </c>
      <c r="G42" s="502" t="e">
        <f t="shared" si="12"/>
        <v>#DIV/0!</v>
      </c>
      <c r="H42" s="501" t="e">
        <f t="shared" si="7"/>
        <v>#DIV/0!</v>
      </c>
      <c r="I42" s="470"/>
      <c r="J42" s="616"/>
      <c r="K42" s="616"/>
      <c r="L42" s="470"/>
    </row>
    <row r="43" spans="1:22" ht="18" customHeight="1" x14ac:dyDescent="0.25">
      <c r="A43" s="622"/>
      <c r="B43" s="465">
        <v>100</v>
      </c>
      <c r="C43" s="468">
        <v>0.15</v>
      </c>
      <c r="D43" s="539">
        <f>+FORMATO!I33</f>
        <v>0</v>
      </c>
      <c r="E43" s="449">
        <f t="shared" si="5"/>
        <v>0</v>
      </c>
      <c r="F43" s="501" t="b">
        <f t="shared" si="13"/>
        <v>0</v>
      </c>
      <c r="G43" s="502" t="e">
        <f t="shared" si="12"/>
        <v>#DIV/0!</v>
      </c>
      <c r="H43" s="501" t="e">
        <f t="shared" si="7"/>
        <v>#DIV/0!</v>
      </c>
      <c r="I43" s="470"/>
      <c r="J43" s="616"/>
      <c r="K43" s="638"/>
      <c r="L43" s="616"/>
    </row>
    <row r="44" spans="1:22" ht="18" customHeight="1" x14ac:dyDescent="0.25">
      <c r="A44" s="622"/>
      <c r="B44" s="465">
        <v>200</v>
      </c>
      <c r="C44" s="468">
        <v>7.4999999999999997E-2</v>
      </c>
      <c r="D44" s="539">
        <f>+FORMATO!I34</f>
        <v>0</v>
      </c>
      <c r="E44" s="449">
        <f t="shared" si="5"/>
        <v>0</v>
      </c>
      <c r="F44" s="501" t="b">
        <f t="shared" si="13"/>
        <v>0</v>
      </c>
      <c r="G44" s="502" t="e">
        <f t="shared" si="12"/>
        <v>#DIV/0!</v>
      </c>
      <c r="H44" s="501" t="e">
        <f t="shared" si="7"/>
        <v>#DIV/0!</v>
      </c>
      <c r="I44" s="470"/>
      <c r="J44" s="639"/>
      <c r="K44" s="621"/>
      <c r="L44" s="616"/>
    </row>
    <row r="45" spans="1:22" ht="18" customHeight="1" x14ac:dyDescent="0.25">
      <c r="A45" s="622"/>
      <c r="B45" s="636" t="s">
        <v>34</v>
      </c>
      <c r="C45" s="465"/>
      <c r="D45" s="539">
        <f>+FORMATO!I35</f>
        <v>0</v>
      </c>
      <c r="E45" s="449">
        <f t="shared" si="5"/>
        <v>0</v>
      </c>
      <c r="F45" s="501" t="b">
        <f t="shared" si="13"/>
        <v>0</v>
      </c>
      <c r="G45" s="502" t="e">
        <f>+G44+H44</f>
        <v>#DIV/0!</v>
      </c>
      <c r="H45" s="501"/>
      <c r="I45" s="470"/>
      <c r="J45" s="616"/>
      <c r="K45" s="621"/>
      <c r="L45" s="640"/>
    </row>
    <row r="46" spans="1:22" ht="18" customHeight="1" x14ac:dyDescent="0.25">
      <c r="A46" s="622"/>
      <c r="B46" s="477"/>
      <c r="C46" s="477"/>
      <c r="D46" s="464"/>
      <c r="E46" s="477"/>
      <c r="F46" s="641"/>
      <c r="G46" s="641"/>
      <c r="H46" s="642"/>
      <c r="I46" s="616"/>
      <c r="J46" s="616"/>
      <c r="K46" s="621"/>
      <c r="L46" s="616"/>
    </row>
    <row r="47" spans="1:22" ht="18" customHeight="1" x14ac:dyDescent="0.25">
      <c r="A47" s="451"/>
      <c r="B47" s="464"/>
      <c r="C47" s="868" t="s">
        <v>293</v>
      </c>
      <c r="D47" s="868"/>
      <c r="E47" s="868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2" t="s">
        <v>258</v>
      </c>
      <c r="D48" s="479" t="s">
        <v>292</v>
      </c>
      <c r="E48" s="479" t="s">
        <v>291</v>
      </c>
      <c r="H48" s="464"/>
    </row>
    <row r="49" spans="1:12" ht="18" customHeight="1" x14ac:dyDescent="0.25">
      <c r="A49" s="451"/>
      <c r="B49" s="464"/>
      <c r="C49" s="593">
        <v>0.375</v>
      </c>
      <c r="D49" s="594">
        <v>1000</v>
      </c>
      <c r="E49" s="539"/>
      <c r="G49" s="595"/>
      <c r="H49" s="464"/>
      <c r="I49" s="440"/>
      <c r="J49" s="440"/>
      <c r="L49" s="440"/>
    </row>
    <row r="50" spans="1:12" ht="18" customHeight="1" x14ac:dyDescent="0.25">
      <c r="A50" s="451"/>
      <c r="B50" s="454"/>
      <c r="C50" s="593">
        <v>0.5</v>
      </c>
      <c r="D50" s="594">
        <v>2000</v>
      </c>
      <c r="E50" s="539"/>
      <c r="G50" s="595"/>
      <c r="H50" s="464"/>
      <c r="I50" s="440"/>
      <c r="J50" s="440"/>
      <c r="L50" s="440"/>
    </row>
    <row r="51" spans="1:12" ht="18" customHeight="1" x14ac:dyDescent="0.25">
      <c r="A51" s="451"/>
      <c r="B51" s="454"/>
      <c r="C51" s="593">
        <v>0.75</v>
      </c>
      <c r="D51" s="594">
        <v>5000</v>
      </c>
      <c r="E51" s="539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3">
        <v>1</v>
      </c>
      <c r="D52" s="594">
        <v>10000</v>
      </c>
      <c r="E52" s="539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3">
        <v>1.5</v>
      </c>
      <c r="D53" s="594">
        <v>15000</v>
      </c>
      <c r="E53" s="539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3">
        <v>2</v>
      </c>
      <c r="D54" s="594">
        <v>20000</v>
      </c>
      <c r="E54" s="539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3">
        <v>2.5</v>
      </c>
      <c r="D55" s="594">
        <v>35000</v>
      </c>
      <c r="E55" s="539"/>
      <c r="H55" s="464"/>
      <c r="I55" s="440"/>
      <c r="J55" s="440"/>
      <c r="K55" s="440"/>
      <c r="L55" s="440"/>
    </row>
    <row r="56" spans="1:12" ht="18" customHeight="1" x14ac:dyDescent="0.25">
      <c r="B56" s="454"/>
      <c r="C56" s="596">
        <v>3</v>
      </c>
      <c r="D56" s="597">
        <v>60000</v>
      </c>
      <c r="E56" s="539"/>
      <c r="H56" s="464"/>
      <c r="I56" s="440"/>
      <c r="J56" s="440"/>
      <c r="K56" s="440"/>
      <c r="L56" s="440"/>
    </row>
    <row r="57" spans="1:12" ht="18" customHeight="1" x14ac:dyDescent="0.25">
      <c r="B57" s="454"/>
      <c r="C57" s="598"/>
      <c r="D57" s="599" t="s">
        <v>150</v>
      </c>
      <c r="E57" s="600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1"/>
      <c r="D58" s="602" t="s">
        <v>151</v>
      </c>
      <c r="E58" s="603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4"/>
      <c r="D59" s="605" t="s">
        <v>152</v>
      </c>
      <c r="E59" s="606" t="e">
        <f>IF(E16="","",IF(AND(E49="",E50="",E51="",E52="",E53="",E54="",E55="",E56=""),"Falta Especificar Tmax",IF(E16="","",IF(E16&gt;=E58,"Cumple","No cumple- Repetir ensayo"))))</f>
        <v>#DIV/0!</v>
      </c>
      <c r="G59" s="607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312</v>
      </c>
      <c r="I60" s="440"/>
      <c r="J60" s="440"/>
      <c r="K60" s="440"/>
      <c r="L60" s="440"/>
    </row>
    <row r="61" spans="1:12" ht="16.5" customHeight="1" x14ac:dyDescent="0.25">
      <c r="B61" s="454"/>
      <c r="C61" s="869" t="s">
        <v>294</v>
      </c>
      <c r="D61" s="870"/>
      <c r="E61" s="606" t="str">
        <f>IF(E19&gt;=300,"Cumple","No cumple")</f>
        <v>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algorithmName="SHA-512" hashValue="PhSjsJrvoH6nY17GGGXQbM6919a0pS0xFYS8BjkTuVmW528wUwejdzF3ex+AFMUD6QoE8jLqA43PhA/Jz5a1lw==" saltValue="q1DYuEWj9QoKvOAlnxc1DA==" spinCount="100000" sheet="1" selectLockedCells="1" selectUnlockedCell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225" zoomScale="90" zoomScaleNormal="90" workbookViewId="0">
      <selection activeCell="I245" sqref="I245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898"/>
      <c r="B1" s="889" t="s">
        <v>234</v>
      </c>
      <c r="C1" s="890"/>
      <c r="D1" s="890"/>
      <c r="E1" s="890"/>
      <c r="F1" s="890"/>
      <c r="G1" s="890"/>
      <c r="H1" s="890"/>
      <c r="I1" s="891"/>
      <c r="J1" s="400" t="s">
        <v>233</v>
      </c>
      <c r="K1" s="400" t="s">
        <v>232</v>
      </c>
    </row>
    <row r="2" spans="1:11" ht="12.75" customHeight="1" x14ac:dyDescent="0.2">
      <c r="A2" s="899"/>
      <c r="B2" s="892"/>
      <c r="C2" s="893"/>
      <c r="D2" s="893"/>
      <c r="E2" s="893"/>
      <c r="F2" s="893"/>
      <c r="G2" s="893"/>
      <c r="H2" s="893"/>
      <c r="I2" s="894"/>
      <c r="J2" s="400" t="s">
        <v>231</v>
      </c>
      <c r="K2" s="401">
        <v>3</v>
      </c>
    </row>
    <row r="3" spans="1:11" ht="12.75" customHeight="1" x14ac:dyDescent="0.2">
      <c r="A3" s="899"/>
      <c r="B3" s="892"/>
      <c r="C3" s="893"/>
      <c r="D3" s="893"/>
      <c r="E3" s="893"/>
      <c r="F3" s="893"/>
      <c r="G3" s="893"/>
      <c r="H3" s="893"/>
      <c r="I3" s="894"/>
      <c r="J3" s="400" t="s">
        <v>230</v>
      </c>
      <c r="K3" s="784">
        <v>46146</v>
      </c>
    </row>
    <row r="4" spans="1:11" ht="12.75" customHeight="1" x14ac:dyDescent="0.2">
      <c r="A4" s="900"/>
      <c r="B4" s="895"/>
      <c r="C4" s="896"/>
      <c r="D4" s="896"/>
      <c r="E4" s="896"/>
      <c r="F4" s="896"/>
      <c r="G4" s="896"/>
      <c r="H4" s="896"/>
      <c r="I4" s="897"/>
      <c r="J4" s="400" t="s">
        <v>229</v>
      </c>
      <c r="K4" s="400" t="s">
        <v>228</v>
      </c>
    </row>
    <row r="6" spans="1:11" ht="18" customHeight="1" x14ac:dyDescent="0.2">
      <c r="A6" s="574" t="s">
        <v>227</v>
      </c>
      <c r="B6" s="575" t="s">
        <v>128</v>
      </c>
      <c r="C6" s="576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4" t="s">
        <v>226</v>
      </c>
      <c r="B7" s="575" t="s">
        <v>352</v>
      </c>
      <c r="C7" s="576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4" t="s">
        <v>225</v>
      </c>
      <c r="B8" s="575" t="s">
        <v>235</v>
      </c>
      <c r="C8" s="576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7" t="s">
        <v>463</v>
      </c>
      <c r="B9" s="575" t="s">
        <v>272</v>
      </c>
      <c r="C9" s="576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464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71" t="s">
        <v>310</v>
      </c>
      <c r="B13" s="503"/>
      <c r="C13" s="399"/>
      <c r="D13" s="491"/>
      <c r="E13" s="491"/>
      <c r="F13" s="571" t="s">
        <v>311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72" t="s">
        <v>349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72" t="s">
        <v>350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72" t="s">
        <v>351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71" t="s">
        <v>313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73" t="s">
        <v>315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73" t="s">
        <v>316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314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88" t="s">
        <v>465</v>
      </c>
      <c r="B35" s="888"/>
      <c r="C35" s="888"/>
      <c r="D35" s="888"/>
      <c r="E35" s="888"/>
      <c r="F35" s="888"/>
      <c r="G35" s="888"/>
      <c r="H35" s="888"/>
      <c r="I35" s="888"/>
    </row>
    <row r="36" spans="1:14" ht="37.799999999999997" x14ac:dyDescent="0.25">
      <c r="A36" s="397" t="s">
        <v>224</v>
      </c>
      <c r="B36" s="397" t="s">
        <v>223</v>
      </c>
      <c r="C36" s="397" t="s">
        <v>348</v>
      </c>
      <c r="D36" s="397" t="s">
        <v>222</v>
      </c>
      <c r="E36" s="397" t="s">
        <v>273</v>
      </c>
      <c r="F36" s="397" t="s">
        <v>221</v>
      </c>
      <c r="G36" s="397" t="s">
        <v>274</v>
      </c>
      <c r="H36" s="397" t="s">
        <v>220</v>
      </c>
      <c r="I36" s="397" t="s">
        <v>219</v>
      </c>
      <c r="N36" s="568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218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#DIV/0!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7" t="s">
        <v>321</v>
      </c>
      <c r="B40" s="525">
        <f>+Balanza!D30</f>
        <v>0</v>
      </c>
      <c r="C40" s="404"/>
      <c r="D40" s="405" t="s">
        <v>188</v>
      </c>
      <c r="E40" s="406">
        <f>SQRT((E41*E41)+(E42*E42)+(E43*E43))</f>
        <v>7.0663521942607221E-2</v>
      </c>
      <c r="F40" s="407" t="e">
        <f>(100/B44)</f>
        <v>#DIV/0!</v>
      </c>
      <c r="G40" s="408" t="e">
        <f>(E40*F40)</f>
        <v>#DIV/0!</v>
      </c>
      <c r="H40" s="389"/>
      <c r="J40" s="387"/>
    </row>
    <row r="41" spans="1:14" ht="19.5" customHeight="1" x14ac:dyDescent="0.2">
      <c r="A41" s="409" t="s">
        <v>187</v>
      </c>
      <c r="B41" s="410"/>
      <c r="C41" s="411">
        <f>Balanza!E30</f>
        <v>0</v>
      </c>
      <c r="D41" s="412" t="s">
        <v>186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185</v>
      </c>
      <c r="B42" s="410"/>
      <c r="C42" s="416">
        <f>2*(SQRT(Balanza!$B$9+Balanza!$C$9*(POWER(B40,2))))</f>
        <v>0.12899612397277679</v>
      </c>
      <c r="D42" s="412" t="s">
        <v>184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#DIV/0!</v>
      </c>
    </row>
    <row r="43" spans="1:14" ht="19.5" customHeight="1" x14ac:dyDescent="0.2">
      <c r="A43" s="409" t="s">
        <v>183</v>
      </c>
      <c r="B43" s="410"/>
      <c r="C43" s="411">
        <f>+Balanza!$B$11</f>
        <v>0.1</v>
      </c>
      <c r="D43" s="412" t="s">
        <v>182</v>
      </c>
      <c r="E43" s="413">
        <f>(C43/SQRT(3)/2)</f>
        <v>2.8867513459481291E-2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189</v>
      </c>
      <c r="B44" s="417" t="b">
        <f>+Balanza!$C$26</f>
        <v>0</v>
      </c>
      <c r="C44" s="417"/>
      <c r="D44" s="405" t="s">
        <v>188</v>
      </c>
      <c r="E44" s="406">
        <f>SQRT((E45*E45)+(E46*E46)+(E47*E47))</f>
        <v>7.0663521942607221E-2</v>
      </c>
      <c r="F44" s="407" t="e">
        <f>(100*B40)/POWER(B44,2)</f>
        <v>#DIV/0!</v>
      </c>
      <c r="G44" s="408" t="e">
        <f>(E44*F44)</f>
        <v>#DIV/0!</v>
      </c>
      <c r="H44" s="387"/>
      <c r="I44" s="393" t="str">
        <f>A44</f>
        <v>M total (g)</v>
      </c>
      <c r="J44" s="394" t="e">
        <f>G44</f>
        <v>#DIV/0!</v>
      </c>
    </row>
    <row r="45" spans="1:14" ht="19.5" customHeight="1" x14ac:dyDescent="0.2">
      <c r="A45" s="409" t="s">
        <v>187</v>
      </c>
      <c r="B45" s="410"/>
      <c r="C45" s="411">
        <f>+Balanza!$D$26</f>
        <v>0</v>
      </c>
      <c r="D45" s="412" t="s">
        <v>186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185</v>
      </c>
      <c r="B46" s="410"/>
      <c r="C46" s="416">
        <f>2*(SQRT(Balanza!$B$9+Balanza!$C$9*(POWER(B44,2))))</f>
        <v>0.12899612397277679</v>
      </c>
      <c r="D46" s="412" t="s">
        <v>184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183</v>
      </c>
      <c r="B47" s="410"/>
      <c r="C47" s="411">
        <f>+Balanza!$B$11</f>
        <v>0.1</v>
      </c>
      <c r="D47" s="412" t="s">
        <v>182</v>
      </c>
      <c r="E47" s="413">
        <f>(C47/SQRT(3)/2)</f>
        <v>2.8867513459481291E-2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217</v>
      </c>
      <c r="B48" s="404">
        <v>75</v>
      </c>
      <c r="C48" s="404"/>
      <c r="D48" s="405" t="s">
        <v>188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185</v>
      </c>
      <c r="B49" s="410"/>
      <c r="C49" s="419">
        <f>+Balanza!L28</f>
        <v>1.7999999999999999E-2</v>
      </c>
      <c r="D49" s="412" t="s">
        <v>184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216</v>
      </c>
      <c r="B50" s="421">
        <f>+Balanza!B53</f>
        <v>0</v>
      </c>
      <c r="C50" s="421"/>
      <c r="D50" s="422" t="s">
        <v>180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238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#DIV/0!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322</v>
      </c>
      <c r="B54" s="524">
        <f>+Balanza!D31</f>
        <v>0</v>
      </c>
      <c r="C54" s="404"/>
      <c r="D54" s="405" t="s">
        <v>188</v>
      </c>
      <c r="E54" s="406">
        <f>SQRT((E55*E55)+(E56*E56)+(E57*E57))</f>
        <v>7.0663521942607221E-2</v>
      </c>
      <c r="F54" s="407" t="e">
        <f>(100/B58)</f>
        <v>#DIV/0!</v>
      </c>
      <c r="G54" s="408" t="e">
        <f>(E54*F54)</f>
        <v>#DIV/0!</v>
      </c>
      <c r="H54" s="389"/>
      <c r="J54" s="387"/>
    </row>
    <row r="55" spans="1:10" ht="19.5" customHeight="1" x14ac:dyDescent="0.2">
      <c r="A55" s="409" t="s">
        <v>187</v>
      </c>
      <c r="B55" s="410"/>
      <c r="C55" s="411">
        <f>Balanza!E31</f>
        <v>0</v>
      </c>
      <c r="D55" s="412" t="s">
        <v>186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185</v>
      </c>
      <c r="B56" s="410"/>
      <c r="C56" s="416">
        <f>2*(SQRT(Balanza!$B$9+Balanza!$C$9*(POWER(B54,2))))</f>
        <v>0.12899612397277679</v>
      </c>
      <c r="D56" s="412" t="s">
        <v>184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#DIV/0!</v>
      </c>
    </row>
    <row r="57" spans="1:10" ht="19.5" customHeight="1" x14ac:dyDescent="0.2">
      <c r="A57" s="409" t="s">
        <v>183</v>
      </c>
      <c r="B57" s="410"/>
      <c r="C57" s="411">
        <f>+Balanza!$B$11</f>
        <v>0.1</v>
      </c>
      <c r="D57" s="412" t="s">
        <v>182</v>
      </c>
      <c r="E57" s="413">
        <f>(C57/SQRT(3)/2)</f>
        <v>2.8867513459481291E-2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189</v>
      </c>
      <c r="B58" s="417" t="b">
        <f>+Balanza!$C$26</f>
        <v>0</v>
      </c>
      <c r="C58" s="417"/>
      <c r="D58" s="405" t="s">
        <v>188</v>
      </c>
      <c r="E58" s="406">
        <f>SQRT((E59*E59)+(E60*E60)+(E61*E61))</f>
        <v>7.0663521942607221E-2</v>
      </c>
      <c r="F58" s="407" t="e">
        <f>(100*B54)/POWER(B58,2)</f>
        <v>#DIV/0!</v>
      </c>
      <c r="G58" s="408" t="e">
        <f>(E58*F58)</f>
        <v>#DIV/0!</v>
      </c>
      <c r="H58" s="387"/>
      <c r="I58" s="393" t="str">
        <f>A58</f>
        <v>M total (g)</v>
      </c>
      <c r="J58" s="394" t="e">
        <f>G58</f>
        <v>#DIV/0!</v>
      </c>
    </row>
    <row r="59" spans="1:10" ht="19.5" customHeight="1" x14ac:dyDescent="0.2">
      <c r="A59" s="409" t="s">
        <v>187</v>
      </c>
      <c r="B59" s="410"/>
      <c r="C59" s="411">
        <f>+Balanza!$D$26</f>
        <v>0</v>
      </c>
      <c r="D59" s="412" t="s">
        <v>186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185</v>
      </c>
      <c r="B60" s="410"/>
      <c r="C60" s="416">
        <f>2*(SQRT(Balanza!$B$9+Balanza!$C$9*(POWER(B58,2))))</f>
        <v>0.12899612397277679</v>
      </c>
      <c r="D60" s="412" t="s">
        <v>184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183</v>
      </c>
      <c r="B61" s="410"/>
      <c r="C61" s="411">
        <f>+Balanza!$B$11</f>
        <v>0.1</v>
      </c>
      <c r="D61" s="412" t="s">
        <v>182</v>
      </c>
      <c r="E61" s="413">
        <f>(C61/SQRT(3)/2)</f>
        <v>2.8867513459481291E-2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239</v>
      </c>
      <c r="B62" s="404">
        <v>63.5</v>
      </c>
      <c r="C62" s="404"/>
      <c r="D62" s="405" t="s">
        <v>188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185</v>
      </c>
      <c r="B63" s="410"/>
      <c r="C63" s="419">
        <f>+Balanza!L29</f>
        <v>1.7999999999999999E-2</v>
      </c>
      <c r="D63" s="412" t="s">
        <v>184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240</v>
      </c>
      <c r="B64" s="421">
        <f>+Balanza!B54</f>
        <v>0</v>
      </c>
      <c r="C64" s="421"/>
      <c r="D64" s="422" t="s">
        <v>180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215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#DIV/0!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323</v>
      </c>
      <c r="B68" s="524">
        <f>+Balanza!D32</f>
        <v>0</v>
      </c>
      <c r="C68" s="404"/>
      <c r="D68" s="405" t="s">
        <v>188</v>
      </c>
      <c r="E68" s="406">
        <f>SQRT((E69*E69)+(E70*E70)+(E71*E71))</f>
        <v>7.0663521942607221E-2</v>
      </c>
      <c r="F68" s="407" t="e">
        <f>(100/B72)</f>
        <v>#DIV/0!</v>
      </c>
      <c r="G68" s="408" t="e">
        <f>(E68*F68)</f>
        <v>#DIV/0!</v>
      </c>
      <c r="H68" s="389"/>
      <c r="J68" s="387"/>
    </row>
    <row r="69" spans="1:10" ht="19.5" customHeight="1" x14ac:dyDescent="0.2">
      <c r="A69" s="409" t="s">
        <v>187</v>
      </c>
      <c r="B69" s="410"/>
      <c r="C69" s="411">
        <f>Balanza!E32</f>
        <v>0</v>
      </c>
      <c r="D69" s="412" t="s">
        <v>186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185</v>
      </c>
      <c r="B70" s="410"/>
      <c r="C70" s="416">
        <f>2*(SQRT(Balanza!$B$9+Balanza!$C$9*(POWER(B68,2))))</f>
        <v>0.12899612397277679</v>
      </c>
      <c r="D70" s="412" t="s">
        <v>184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#DIV/0!</v>
      </c>
    </row>
    <row r="71" spans="1:10" ht="19.5" customHeight="1" x14ac:dyDescent="0.2">
      <c r="A71" s="409" t="s">
        <v>183</v>
      </c>
      <c r="B71" s="410"/>
      <c r="C71" s="411">
        <f>+Balanza!$B$11</f>
        <v>0.1</v>
      </c>
      <c r="D71" s="412" t="s">
        <v>182</v>
      </c>
      <c r="E71" s="413">
        <f>(C71/SQRT(3)/2)</f>
        <v>2.8867513459481291E-2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189</v>
      </c>
      <c r="B72" s="417" t="b">
        <f>+Balanza!$C$26</f>
        <v>0</v>
      </c>
      <c r="C72" s="417"/>
      <c r="D72" s="405" t="s">
        <v>188</v>
      </c>
      <c r="E72" s="406">
        <f>SQRT((E73*E73)+(E74*E74)+(E75*E75))</f>
        <v>7.0663521942607221E-2</v>
      </c>
      <c r="F72" s="407" t="e">
        <f>(100*B68)/POWER(B72,2)</f>
        <v>#DIV/0!</v>
      </c>
      <c r="G72" s="408" t="e">
        <f>(E72*F72)</f>
        <v>#DIV/0!</v>
      </c>
      <c r="H72" s="387"/>
      <c r="I72" s="393" t="str">
        <f>A72</f>
        <v>M total (g)</v>
      </c>
      <c r="J72" s="394" t="e">
        <f>G72</f>
        <v>#DIV/0!</v>
      </c>
    </row>
    <row r="73" spans="1:10" ht="19.5" customHeight="1" x14ac:dyDescent="0.2">
      <c r="A73" s="409" t="s">
        <v>187</v>
      </c>
      <c r="B73" s="410"/>
      <c r="C73" s="411">
        <f>+Balanza!$D$26</f>
        <v>0</v>
      </c>
      <c r="D73" s="412" t="s">
        <v>186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185</v>
      </c>
      <c r="B74" s="410"/>
      <c r="C74" s="416">
        <f>2*(SQRT(Balanza!$B$9+Balanza!$C$9*(POWER(B72,2))))</f>
        <v>0.12899612397277679</v>
      </c>
      <c r="D74" s="412" t="s">
        <v>184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183</v>
      </c>
      <c r="B75" s="410"/>
      <c r="C75" s="411">
        <f>+Balanza!$B$11</f>
        <v>0.1</v>
      </c>
      <c r="D75" s="412" t="s">
        <v>182</v>
      </c>
      <c r="E75" s="413">
        <f>(C75/SQRT(3)/2)</f>
        <v>2.8867513459481291E-2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214</v>
      </c>
      <c r="B76" s="404">
        <v>50</v>
      </c>
      <c r="C76" s="404"/>
      <c r="D76" s="405" t="s">
        <v>188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185</v>
      </c>
      <c r="B77" s="410"/>
      <c r="C77" s="419">
        <f>+Balanza!L30</f>
        <v>1.7999999999999999E-2</v>
      </c>
      <c r="D77" s="412" t="s">
        <v>184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213</v>
      </c>
      <c r="B78" s="421">
        <f>+Balanza!B55</f>
        <v>0</v>
      </c>
      <c r="C78" s="421"/>
      <c r="D78" s="422" t="s">
        <v>180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212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#DIV/0!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324</v>
      </c>
      <c r="B82" s="524">
        <f>+Balanza!D33</f>
        <v>0</v>
      </c>
      <c r="C82" s="404"/>
      <c r="D82" s="405" t="s">
        <v>188</v>
      </c>
      <c r="E82" s="406">
        <f>SQRT((E83*E83)+(E84*E84)+(E85*E85))</f>
        <v>7.0663521942607221E-2</v>
      </c>
      <c r="F82" s="407" t="e">
        <f>(100/B86)</f>
        <v>#DIV/0!</v>
      </c>
      <c r="G82" s="408" t="e">
        <f>(E82*F82)</f>
        <v>#DIV/0!</v>
      </c>
      <c r="H82" s="389"/>
      <c r="J82" s="387"/>
    </row>
    <row r="83" spans="1:10" ht="19.5" customHeight="1" x14ac:dyDescent="0.2">
      <c r="A83" s="409" t="s">
        <v>187</v>
      </c>
      <c r="B83" s="410"/>
      <c r="C83" s="411">
        <f>Balanza!E33</f>
        <v>0</v>
      </c>
      <c r="D83" s="412" t="s">
        <v>186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185</v>
      </c>
      <c r="B84" s="410"/>
      <c r="C84" s="416">
        <f>2*(SQRT(Balanza!$B$9+Balanza!$C$9*(POWER(B82,2))))</f>
        <v>0.12899612397277679</v>
      </c>
      <c r="D84" s="412" t="s">
        <v>184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#DIV/0!</v>
      </c>
    </row>
    <row r="85" spans="1:10" ht="19.5" customHeight="1" x14ac:dyDescent="0.2">
      <c r="A85" s="409" t="s">
        <v>183</v>
      </c>
      <c r="B85" s="410"/>
      <c r="C85" s="411">
        <f>+Balanza!$B$11</f>
        <v>0.1</v>
      </c>
      <c r="D85" s="412" t="s">
        <v>182</v>
      </c>
      <c r="E85" s="413">
        <f>(C85/SQRT(3)/2)</f>
        <v>2.8867513459481291E-2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189</v>
      </c>
      <c r="B86" s="417" t="b">
        <f>+Balanza!$C$26</f>
        <v>0</v>
      </c>
      <c r="C86" s="417"/>
      <c r="D86" s="405" t="s">
        <v>188</v>
      </c>
      <c r="E86" s="406">
        <f>SQRT((E87*E87)+(E88*E88)+(E89*E89))</f>
        <v>7.0663521942607221E-2</v>
      </c>
      <c r="F86" s="407" t="e">
        <f>(100*B82)/POWER(B86,2)</f>
        <v>#DIV/0!</v>
      </c>
      <c r="G86" s="408" t="e">
        <f>(E86*F86)</f>
        <v>#DIV/0!</v>
      </c>
      <c r="H86" s="387"/>
      <c r="I86" s="393" t="str">
        <f>A86</f>
        <v>M total (g)</v>
      </c>
      <c r="J86" s="394" t="e">
        <f>G86</f>
        <v>#DIV/0!</v>
      </c>
    </row>
    <row r="87" spans="1:10" ht="19.5" customHeight="1" x14ac:dyDescent="0.2">
      <c r="A87" s="409" t="s">
        <v>187</v>
      </c>
      <c r="B87" s="410"/>
      <c r="C87" s="411">
        <f>+Balanza!$D$26</f>
        <v>0</v>
      </c>
      <c r="D87" s="412" t="s">
        <v>186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185</v>
      </c>
      <c r="B88" s="410"/>
      <c r="C88" s="416">
        <f>2*(SQRT(Balanza!$B$9+Balanza!$C$9*(POWER(B86,2))))</f>
        <v>0.12899612397277679</v>
      </c>
      <c r="D88" s="412" t="s">
        <v>184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183</v>
      </c>
      <c r="B89" s="410"/>
      <c r="C89" s="411">
        <f>+Balanza!$B$11</f>
        <v>0.1</v>
      </c>
      <c r="D89" s="412" t="s">
        <v>182</v>
      </c>
      <c r="E89" s="413">
        <f>(C89/SQRT(3)/2)</f>
        <v>2.8867513459481291E-2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211</v>
      </c>
      <c r="B90" s="404">
        <v>37.5</v>
      </c>
      <c r="C90" s="404"/>
      <c r="D90" s="405" t="s">
        <v>188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185</v>
      </c>
      <c r="B91" s="410"/>
      <c r="C91" s="419">
        <f>+Balanza!L31</f>
        <v>1.7999999999999999E-2</v>
      </c>
      <c r="D91" s="412" t="s">
        <v>184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210</v>
      </c>
      <c r="B92" s="421">
        <f>+Balanza!B56</f>
        <v>0</v>
      </c>
      <c r="C92" s="421"/>
      <c r="D92" s="422" t="s">
        <v>180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209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#DIV/0!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325</v>
      </c>
      <c r="B96" s="524">
        <f>+Balanza!D34</f>
        <v>0</v>
      </c>
      <c r="C96" s="404"/>
      <c r="D96" s="405" t="s">
        <v>188</v>
      </c>
      <c r="E96" s="406">
        <f>SQRT((E97*E97)+(E98*E98)+(E99*E99))</f>
        <v>7.0663521942607221E-2</v>
      </c>
      <c r="F96" s="407" t="e">
        <f>(100/B100)</f>
        <v>#DIV/0!</v>
      </c>
      <c r="G96" s="408" t="e">
        <f>(E96*F96)</f>
        <v>#DIV/0!</v>
      </c>
      <c r="H96" s="389"/>
      <c r="J96" s="387"/>
    </row>
    <row r="97" spans="1:10" ht="19.5" customHeight="1" x14ac:dyDescent="0.2">
      <c r="A97" s="409" t="s">
        <v>187</v>
      </c>
      <c r="B97" s="410"/>
      <c r="C97" s="411">
        <f>Balanza!E34</f>
        <v>0</v>
      </c>
      <c r="D97" s="412" t="s">
        <v>186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185</v>
      </c>
      <c r="B98" s="410"/>
      <c r="C98" s="416">
        <f>2*(SQRT(Balanza!$B$9+Balanza!$C$9*(POWER(B96,2))))</f>
        <v>0.12899612397277679</v>
      </c>
      <c r="D98" s="412" t="s">
        <v>184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#DIV/0!</v>
      </c>
    </row>
    <row r="99" spans="1:10" ht="19.5" customHeight="1" x14ac:dyDescent="0.2">
      <c r="A99" s="409" t="s">
        <v>183</v>
      </c>
      <c r="B99" s="410"/>
      <c r="C99" s="411">
        <f>+Balanza!$B$11</f>
        <v>0.1</v>
      </c>
      <c r="D99" s="412" t="s">
        <v>182</v>
      </c>
      <c r="E99" s="413">
        <f>(C99/SQRT(3)/2)</f>
        <v>2.8867513459481291E-2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189</v>
      </c>
      <c r="B100" s="417" t="b">
        <f>+Balanza!$C$26</f>
        <v>0</v>
      </c>
      <c r="C100" s="417"/>
      <c r="D100" s="405" t="s">
        <v>188</v>
      </c>
      <c r="E100" s="406">
        <f>SQRT((E101*E101)+(E102*E102)+(E103*E103))</f>
        <v>7.0663521942607221E-2</v>
      </c>
      <c r="F100" s="407" t="e">
        <f>(100*B96)/POWER(B100,2)</f>
        <v>#DIV/0!</v>
      </c>
      <c r="G100" s="408" t="e">
        <f>(E100*F100)</f>
        <v>#DIV/0!</v>
      </c>
      <c r="H100" s="387"/>
      <c r="I100" s="393" t="str">
        <f>A100</f>
        <v>M total (g)</v>
      </c>
      <c r="J100" s="394" t="e">
        <f>G100</f>
        <v>#DIV/0!</v>
      </c>
    </row>
    <row r="101" spans="1:10" ht="19.5" customHeight="1" x14ac:dyDescent="0.2">
      <c r="A101" s="409" t="s">
        <v>187</v>
      </c>
      <c r="B101" s="410"/>
      <c r="C101" s="411">
        <f>+Balanza!$D$26</f>
        <v>0</v>
      </c>
      <c r="D101" s="412" t="s">
        <v>186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185</v>
      </c>
      <c r="B102" s="410"/>
      <c r="C102" s="416">
        <f>2*(SQRT(Balanza!$B$9+Balanza!$C$9*(POWER(B100,2))))</f>
        <v>0.12899612397277679</v>
      </c>
      <c r="D102" s="412" t="s">
        <v>184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183</v>
      </c>
      <c r="B103" s="410"/>
      <c r="C103" s="411">
        <f>+Balanza!$B$11</f>
        <v>0.1</v>
      </c>
      <c r="D103" s="412" t="s">
        <v>182</v>
      </c>
      <c r="E103" s="413">
        <f>(C103/SQRT(3)/2)</f>
        <v>2.8867513459481291E-2</v>
      </c>
      <c r="F103" s="410"/>
      <c r="G103" s="418"/>
      <c r="H103" s="387"/>
    </row>
    <row r="104" spans="1:10" ht="19.5" customHeight="1" x14ac:dyDescent="0.2">
      <c r="A104" s="403" t="s">
        <v>208</v>
      </c>
      <c r="B104" s="404">
        <v>25</v>
      </c>
      <c r="C104" s="404"/>
      <c r="D104" s="405" t="s">
        <v>188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185</v>
      </c>
      <c r="B105" s="410"/>
      <c r="C105" s="419">
        <f>+Balanza!L32</f>
        <v>1.7999999999999999E-2</v>
      </c>
      <c r="D105" s="412" t="s">
        <v>184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207</v>
      </c>
      <c r="B106" s="421">
        <f>+Balanza!B57</f>
        <v>0</v>
      </c>
      <c r="C106" s="421"/>
      <c r="D106" s="422" t="s">
        <v>180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206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#DIV/0!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326</v>
      </c>
      <c r="B110" s="524">
        <f>+Balanza!D35</f>
        <v>0</v>
      </c>
      <c r="C110" s="404"/>
      <c r="D110" s="405" t="s">
        <v>188</v>
      </c>
      <c r="E110" s="406">
        <f>SQRT((E111*E111)+(E112*E112)+(E113*E113))</f>
        <v>7.0663521942607221E-2</v>
      </c>
      <c r="F110" s="407" t="e">
        <f>(100/B114)</f>
        <v>#DIV/0!</v>
      </c>
      <c r="G110" s="408" t="e">
        <f>(E110*F110)</f>
        <v>#DIV/0!</v>
      </c>
      <c r="H110" s="389"/>
      <c r="J110" s="387"/>
    </row>
    <row r="111" spans="1:10" ht="19.5" customHeight="1" x14ac:dyDescent="0.2">
      <c r="A111" s="409" t="s">
        <v>187</v>
      </c>
      <c r="B111" s="410"/>
      <c r="C111" s="411">
        <f>Balanza!E35</f>
        <v>0</v>
      </c>
      <c r="D111" s="412" t="s">
        <v>186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185</v>
      </c>
      <c r="B112" s="410"/>
      <c r="C112" s="416">
        <f>2*(SQRT(Balanza!$B$9+Balanza!$C$9*(POWER(B110,2))))</f>
        <v>0.12899612397277679</v>
      </c>
      <c r="D112" s="412" t="s">
        <v>184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#DIV/0!</v>
      </c>
    </row>
    <row r="113" spans="1:10" ht="19.5" customHeight="1" x14ac:dyDescent="0.2">
      <c r="A113" s="409" t="s">
        <v>183</v>
      </c>
      <c r="B113" s="410"/>
      <c r="C113" s="411">
        <f>+Balanza!$B$11</f>
        <v>0.1</v>
      </c>
      <c r="D113" s="412" t="s">
        <v>182</v>
      </c>
      <c r="E113" s="413">
        <f>(C113/SQRT(3)/2)</f>
        <v>2.8867513459481291E-2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189</v>
      </c>
      <c r="B114" s="417" t="b">
        <f>+Balanza!$C$26</f>
        <v>0</v>
      </c>
      <c r="C114" s="417"/>
      <c r="D114" s="405" t="s">
        <v>188</v>
      </c>
      <c r="E114" s="406">
        <f>SQRT((E115*E115)+(E116*E116)+(E117*E117))</f>
        <v>7.0663521942607221E-2</v>
      </c>
      <c r="F114" s="407" t="e">
        <f>(100*B110)/POWER(B114,2)</f>
        <v>#DIV/0!</v>
      </c>
      <c r="G114" s="408" t="e">
        <f>(E114*F114)</f>
        <v>#DIV/0!</v>
      </c>
      <c r="H114" s="387"/>
      <c r="I114" s="393" t="str">
        <f>A114</f>
        <v>M total (g)</v>
      </c>
      <c r="J114" s="394" t="e">
        <f>G114</f>
        <v>#DIV/0!</v>
      </c>
    </row>
    <row r="115" spans="1:10" ht="19.5" customHeight="1" x14ac:dyDescent="0.2">
      <c r="A115" s="409" t="s">
        <v>187</v>
      </c>
      <c r="B115" s="410"/>
      <c r="C115" s="411">
        <f>+Balanza!$D$26</f>
        <v>0</v>
      </c>
      <c r="D115" s="412" t="s">
        <v>186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185</v>
      </c>
      <c r="B116" s="410"/>
      <c r="C116" s="416">
        <f>2*(SQRT(Balanza!$B$9+Balanza!$C$9*(POWER(B114,2))))</f>
        <v>0.12899612397277679</v>
      </c>
      <c r="D116" s="412" t="s">
        <v>184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183</v>
      </c>
      <c r="B117" s="410"/>
      <c r="C117" s="411">
        <f>+Balanza!$B$11</f>
        <v>0.1</v>
      </c>
      <c r="D117" s="412" t="s">
        <v>182</v>
      </c>
      <c r="E117" s="413">
        <f>(C117/SQRT(3)/2)</f>
        <v>2.8867513459481291E-2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205</v>
      </c>
      <c r="B118" s="404">
        <v>19</v>
      </c>
      <c r="C118" s="404"/>
      <c r="D118" s="405" t="s">
        <v>188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185</v>
      </c>
      <c r="B119" s="410"/>
      <c r="C119" s="419">
        <f>+Balanza!L33</f>
        <v>1.7999999999999999E-2</v>
      </c>
      <c r="D119" s="412" t="s">
        <v>184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204</v>
      </c>
      <c r="B120" s="421">
        <f>+Balanza!B58</f>
        <v>0</v>
      </c>
      <c r="C120" s="421"/>
      <c r="D120" s="422" t="s">
        <v>180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241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#DIV/0!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327</v>
      </c>
      <c r="B124" s="525">
        <f>+Balanza!D36</f>
        <v>0</v>
      </c>
      <c r="C124" s="404"/>
      <c r="D124" s="405" t="s">
        <v>188</v>
      </c>
      <c r="E124" s="406">
        <f>SQRT((E125*E125)+(E126*E126)+(E127*E127))</f>
        <v>7.0663521942607221E-2</v>
      </c>
      <c r="F124" s="407" t="e">
        <f>(100/B128)</f>
        <v>#DIV/0!</v>
      </c>
      <c r="G124" s="408" t="e">
        <f>(E124*F124)</f>
        <v>#DIV/0!</v>
      </c>
      <c r="H124" s="389"/>
      <c r="J124" s="387"/>
    </row>
    <row r="125" spans="1:10" ht="19.5" customHeight="1" x14ac:dyDescent="0.2">
      <c r="A125" s="409" t="s">
        <v>187</v>
      </c>
      <c r="B125" s="410"/>
      <c r="C125" s="411">
        <f>Balanza!E36</f>
        <v>0</v>
      </c>
      <c r="D125" s="412" t="s">
        <v>186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185</v>
      </c>
      <c r="B126" s="410"/>
      <c r="C126" s="416">
        <f>2*(SQRT(Balanza!$B$9+Balanza!$C$9*(POWER(B124,2))))</f>
        <v>0.12899612397277679</v>
      </c>
      <c r="D126" s="412" t="s">
        <v>184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#DIV/0!</v>
      </c>
    </row>
    <row r="127" spans="1:10" ht="19.5" customHeight="1" x14ac:dyDescent="0.2">
      <c r="A127" s="409" t="s">
        <v>183</v>
      </c>
      <c r="B127" s="410"/>
      <c r="C127" s="411">
        <f>+Balanza!$B$11</f>
        <v>0.1</v>
      </c>
      <c r="D127" s="412" t="s">
        <v>182</v>
      </c>
      <c r="E127" s="413">
        <f>(C127/SQRT(3)/2)</f>
        <v>2.8867513459481291E-2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189</v>
      </c>
      <c r="B128" s="417" t="b">
        <f>+Balanza!$C$26</f>
        <v>0</v>
      </c>
      <c r="C128" s="417"/>
      <c r="D128" s="405" t="s">
        <v>188</v>
      </c>
      <c r="E128" s="406">
        <f>SQRT((E129*E129)+(E130*E130)+(E131*E131))</f>
        <v>7.0663521942607221E-2</v>
      </c>
      <c r="F128" s="407" t="e">
        <f>(100*B124)/POWER(B128,2)</f>
        <v>#DIV/0!</v>
      </c>
      <c r="G128" s="408" t="e">
        <f>(E128*F128)</f>
        <v>#DIV/0!</v>
      </c>
      <c r="H128" s="387"/>
      <c r="I128" s="393" t="str">
        <f>A128</f>
        <v>M total (g)</v>
      </c>
      <c r="J128" s="394" t="e">
        <f>G128</f>
        <v>#DIV/0!</v>
      </c>
    </row>
    <row r="129" spans="1:10" ht="19.5" customHeight="1" x14ac:dyDescent="0.2">
      <c r="A129" s="409" t="s">
        <v>187</v>
      </c>
      <c r="B129" s="410"/>
      <c r="C129" s="411">
        <f>+Balanza!$D$26</f>
        <v>0</v>
      </c>
      <c r="D129" s="412" t="s">
        <v>186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185</v>
      </c>
      <c r="B130" s="410"/>
      <c r="C130" s="416">
        <f>2*(SQRT(Balanza!$B$9+Balanza!$C$9*(POWER(B128,2))))</f>
        <v>0.12899612397277679</v>
      </c>
      <c r="D130" s="412" t="s">
        <v>184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183</v>
      </c>
      <c r="B131" s="410"/>
      <c r="C131" s="411">
        <f>+Balanza!$B$11</f>
        <v>0.1</v>
      </c>
      <c r="D131" s="412" t="s">
        <v>182</v>
      </c>
      <c r="E131" s="413">
        <f>(C131/SQRT(3)/2)</f>
        <v>2.8867513459481291E-2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242</v>
      </c>
      <c r="B132" s="404">
        <v>12.5</v>
      </c>
      <c r="C132" s="404"/>
      <c r="D132" s="405" t="s">
        <v>188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185</v>
      </c>
      <c r="B133" s="410"/>
      <c r="C133" s="419">
        <f>+Balanza!L34</f>
        <v>1.7999999999999999E-2</v>
      </c>
      <c r="D133" s="412" t="s">
        <v>184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243</v>
      </c>
      <c r="B134" s="421">
        <f>+Balanza!B59</f>
        <v>0</v>
      </c>
      <c r="C134" s="421"/>
      <c r="D134" s="422" t="s">
        <v>180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203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#DIV/0!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328</v>
      </c>
      <c r="B138" s="525">
        <f>+Balanza!D37</f>
        <v>0</v>
      </c>
      <c r="C138" s="404"/>
      <c r="D138" s="405" t="s">
        <v>188</v>
      </c>
      <c r="E138" s="406">
        <f>SQRT((E139*E139)+(E140*E140)+(E141*E141))</f>
        <v>7.0663521942607221E-2</v>
      </c>
      <c r="F138" s="407" t="e">
        <f>(100/B142)</f>
        <v>#DIV/0!</v>
      </c>
      <c r="G138" s="408" t="e">
        <f>(E138*F138)</f>
        <v>#DIV/0!</v>
      </c>
      <c r="H138" s="389"/>
      <c r="J138" s="387"/>
    </row>
    <row r="139" spans="1:10" ht="19.5" customHeight="1" x14ac:dyDescent="0.2">
      <c r="A139" s="409" t="s">
        <v>187</v>
      </c>
      <c r="B139" s="410"/>
      <c r="C139" s="411">
        <f>Balanza!E37</f>
        <v>0</v>
      </c>
      <c r="D139" s="412" t="s">
        <v>186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185</v>
      </c>
      <c r="B140" s="410"/>
      <c r="C140" s="416">
        <f>2*(SQRT(Balanza!$B$9+Balanza!$C$9*(POWER(B138,2))))</f>
        <v>0.12899612397277679</v>
      </c>
      <c r="D140" s="412" t="s">
        <v>184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#DIV/0!</v>
      </c>
    </row>
    <row r="141" spans="1:10" ht="19.5" customHeight="1" x14ac:dyDescent="0.2">
      <c r="A141" s="409" t="s">
        <v>183</v>
      </c>
      <c r="B141" s="410"/>
      <c r="C141" s="411">
        <f>+Balanza!$B$11</f>
        <v>0.1</v>
      </c>
      <c r="D141" s="412" t="s">
        <v>182</v>
      </c>
      <c r="E141" s="413">
        <f>(C141/SQRT(3)/2)</f>
        <v>2.8867513459481291E-2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189</v>
      </c>
      <c r="B142" s="417" t="b">
        <f>+Balanza!$C$26</f>
        <v>0</v>
      </c>
      <c r="C142" s="417"/>
      <c r="D142" s="405" t="s">
        <v>188</v>
      </c>
      <c r="E142" s="406">
        <f>SQRT((E143*E143)+(E144*E144)+(E145*E145))</f>
        <v>7.0663521942607221E-2</v>
      </c>
      <c r="F142" s="407" t="e">
        <f>(100*B138)/POWER(B142,2)</f>
        <v>#DIV/0!</v>
      </c>
      <c r="G142" s="408" t="e">
        <f>(E142*F142)</f>
        <v>#DIV/0!</v>
      </c>
      <c r="H142" s="387"/>
      <c r="I142" s="393" t="str">
        <f>A142</f>
        <v>M total (g)</v>
      </c>
      <c r="J142" s="394" t="e">
        <f>G142</f>
        <v>#DIV/0!</v>
      </c>
    </row>
    <row r="143" spans="1:10" ht="19.5" customHeight="1" x14ac:dyDescent="0.2">
      <c r="A143" s="409" t="s">
        <v>187</v>
      </c>
      <c r="B143" s="410"/>
      <c r="C143" s="411">
        <f>+Balanza!$D$26</f>
        <v>0</v>
      </c>
      <c r="D143" s="412" t="s">
        <v>186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185</v>
      </c>
      <c r="B144" s="410"/>
      <c r="C144" s="416">
        <f>2*(SQRT(Balanza!$B$9+Balanza!$C$9*(POWER(B142,2))))</f>
        <v>0.12899612397277679</v>
      </c>
      <c r="D144" s="412" t="s">
        <v>184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183</v>
      </c>
      <c r="B145" s="410"/>
      <c r="C145" s="411">
        <f>+Balanza!$B$11</f>
        <v>0.1</v>
      </c>
      <c r="D145" s="412" t="s">
        <v>182</v>
      </c>
      <c r="E145" s="413">
        <f>(C145/SQRT(3)/2)</f>
        <v>2.8867513459481291E-2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202</v>
      </c>
      <c r="B146" s="404">
        <v>9.5</v>
      </c>
      <c r="C146" s="404"/>
      <c r="D146" s="405" t="s">
        <v>188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185</v>
      </c>
      <c r="B147" s="410"/>
      <c r="C147" s="419">
        <f>+Balanza!L35</f>
        <v>1.7999999999999999E-2</v>
      </c>
      <c r="D147" s="412" t="s">
        <v>184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201</v>
      </c>
      <c r="B148" s="421">
        <f>+Balanza!B60</f>
        <v>0</v>
      </c>
      <c r="C148" s="421"/>
      <c r="D148" s="422" t="s">
        <v>180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200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#DIV/0!</v>
      </c>
      <c r="I150" s="434" t="str">
        <f>IF(B152=0,"---",(H150*2))</f>
        <v>---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329</v>
      </c>
      <c r="B152" s="525">
        <f>+Balanza!D38</f>
        <v>0</v>
      </c>
      <c r="C152" s="404"/>
      <c r="D152" s="405" t="s">
        <v>188</v>
      </c>
      <c r="E152" s="406">
        <f>SQRT((E153*E153)+(E154*E154)+(E155*E155))</f>
        <v>7.0663521942607221E-2</v>
      </c>
      <c r="F152" s="407" t="e">
        <f>(100/B156)</f>
        <v>#DIV/0!</v>
      </c>
      <c r="G152" s="408" t="e">
        <f>(E152*F152)</f>
        <v>#DIV/0!</v>
      </c>
      <c r="H152" s="389"/>
      <c r="J152" s="387"/>
    </row>
    <row r="153" spans="1:10" ht="19.5" customHeight="1" x14ac:dyDescent="0.2">
      <c r="A153" s="409" t="s">
        <v>187</v>
      </c>
      <c r="B153" s="410"/>
      <c r="C153" s="411">
        <f>Balanza!E38</f>
        <v>0</v>
      </c>
      <c r="D153" s="412" t="s">
        <v>186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185</v>
      </c>
      <c r="B154" s="410"/>
      <c r="C154" s="416">
        <f>2*(SQRT(Balanza!$B$9+Balanza!$C$9*(POWER(B152,2))))</f>
        <v>0.12899612397277679</v>
      </c>
      <c r="D154" s="412" t="s">
        <v>184</v>
      </c>
      <c r="E154" s="413">
        <f>C154/2</f>
        <v>6.4498061986388397E-2</v>
      </c>
      <c r="F154" s="414"/>
      <c r="G154" s="415"/>
      <c r="H154" s="387"/>
      <c r="I154" s="391" t="str">
        <f>A152</f>
        <v>M ret acumulado No. 4 (g)</v>
      </c>
      <c r="J154" s="392" t="e">
        <f>G152</f>
        <v>#DIV/0!</v>
      </c>
    </row>
    <row r="155" spans="1:10" ht="19.5" customHeight="1" x14ac:dyDescent="0.2">
      <c r="A155" s="409" t="s">
        <v>183</v>
      </c>
      <c r="B155" s="410"/>
      <c r="C155" s="411">
        <f>+Balanza!$B$11</f>
        <v>0.1</v>
      </c>
      <c r="D155" s="412" t="s">
        <v>182</v>
      </c>
      <c r="E155" s="413">
        <f>(C155/SQRT(3)/2)</f>
        <v>2.8867513459481291E-2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189</v>
      </c>
      <c r="B156" s="417" t="b">
        <f>+Balanza!$C$26</f>
        <v>0</v>
      </c>
      <c r="C156" s="417"/>
      <c r="D156" s="405" t="s">
        <v>188</v>
      </c>
      <c r="E156" s="406">
        <f>SQRT((E157*E157)+(E158*E158)+(E159*E159))</f>
        <v>7.0663521942607221E-2</v>
      </c>
      <c r="F156" s="407" t="e">
        <f>(100*B152)/POWER(B156,2)</f>
        <v>#DIV/0!</v>
      </c>
      <c r="G156" s="408" t="e">
        <f>(E156*F156)</f>
        <v>#DIV/0!</v>
      </c>
      <c r="H156" s="387"/>
      <c r="I156" s="393" t="str">
        <f>A156</f>
        <v>M total (g)</v>
      </c>
      <c r="J156" s="394" t="e">
        <f>G156</f>
        <v>#DIV/0!</v>
      </c>
    </row>
    <row r="157" spans="1:10" ht="19.5" customHeight="1" x14ac:dyDescent="0.2">
      <c r="A157" s="409" t="s">
        <v>187</v>
      </c>
      <c r="B157" s="410"/>
      <c r="C157" s="411">
        <f>+Balanza!$D$26</f>
        <v>0</v>
      </c>
      <c r="D157" s="412" t="s">
        <v>186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185</v>
      </c>
      <c r="B158" s="410"/>
      <c r="C158" s="416">
        <f>2*(SQRT(Balanza!$B$9+Balanza!$C$9*(POWER(B156,2))))</f>
        <v>0.12899612397277679</v>
      </c>
      <c r="D158" s="412" t="s">
        <v>184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183</v>
      </c>
      <c r="B159" s="410"/>
      <c r="C159" s="411">
        <f>+Balanza!$B$11</f>
        <v>0.1</v>
      </c>
      <c r="D159" s="412" t="s">
        <v>182</v>
      </c>
      <c r="E159" s="413">
        <f>(C159/SQRT(3)/2)</f>
        <v>2.8867513459481291E-2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199</v>
      </c>
      <c r="B160" s="404">
        <v>4.75</v>
      </c>
      <c r="C160" s="404"/>
      <c r="D160" s="405" t="s">
        <v>188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185</v>
      </c>
      <c r="B161" s="410"/>
      <c r="C161" s="419">
        <f>+Balanza!L36</f>
        <v>1.7999999999999999E-2</v>
      </c>
      <c r="D161" s="412" t="s">
        <v>184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198</v>
      </c>
      <c r="B162" s="421">
        <f>+Balanza!B61</f>
        <v>7.8102205558218438E-2</v>
      </c>
      <c r="C162" s="421"/>
      <c r="D162" s="422" t="s">
        <v>180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3">
      <c r="A163" s="516" t="str">
        <f>+datos!C10</f>
        <v>-</v>
      </c>
      <c r="H163" s="390" t="s">
        <v>318</v>
      </c>
    </row>
    <row r="164" spans="1:10" ht="19.5" customHeight="1" thickBot="1" x14ac:dyDescent="0.25">
      <c r="A164" s="426" t="s">
        <v>244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#DIV/0!</v>
      </c>
      <c r="I164" s="434" t="str">
        <f>IF(B166=0,"---",(H164*2))</f>
        <v>---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333</v>
      </c>
      <c r="B166" s="525">
        <f>+Balanza!D39</f>
        <v>0</v>
      </c>
      <c r="C166" s="404"/>
      <c r="D166" s="405" t="s">
        <v>188</v>
      </c>
      <c r="E166" s="406">
        <f>SQRT((E167*E167)+(E168*E168)+(E169*E169))</f>
        <v>7.0663521942607221E-2</v>
      </c>
      <c r="F166" s="407" t="e">
        <f>IF($A$163="Fraccionada",B165/B170,100/B170)</f>
        <v>#DIV/0!</v>
      </c>
      <c r="G166" s="408" t="e">
        <f>(E166*F166)</f>
        <v>#DIV/0!</v>
      </c>
      <c r="H166" s="389"/>
      <c r="J166" s="387"/>
    </row>
    <row r="167" spans="1:10" ht="19.5" customHeight="1" x14ac:dyDescent="0.2">
      <c r="A167" s="409" t="s">
        <v>187</v>
      </c>
      <c r="B167" s="410"/>
      <c r="C167" s="411">
        <f>Balanza!E39</f>
        <v>0</v>
      </c>
      <c r="D167" s="412" t="s">
        <v>186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185</v>
      </c>
      <c r="B168" s="410"/>
      <c r="C168" s="416">
        <f>2*(SQRT(Balanza!$B$9+Balanza!$C$9*(POWER(B166,2))))</f>
        <v>0.12899612397277679</v>
      </c>
      <c r="D168" s="412" t="s">
        <v>184</v>
      </c>
      <c r="E168" s="413">
        <f>C168/2</f>
        <v>6.4498061986388397E-2</v>
      </c>
      <c r="F168" s="414"/>
      <c r="G168" s="415"/>
      <c r="H168" s="387"/>
      <c r="I168" s="391" t="str">
        <f>A166</f>
        <v>M ret acumulado No. 8 (g)</v>
      </c>
      <c r="J168" s="392" t="e">
        <f>G166</f>
        <v>#DIV/0!</v>
      </c>
    </row>
    <row r="169" spans="1:10" ht="19.5" customHeight="1" x14ac:dyDescent="0.2">
      <c r="A169" s="409" t="s">
        <v>183</v>
      </c>
      <c r="B169" s="410"/>
      <c r="C169" s="411">
        <f>+Balanza!$B$11</f>
        <v>0.1</v>
      </c>
      <c r="D169" s="412" t="s">
        <v>182</v>
      </c>
      <c r="E169" s="413">
        <f>(C169/SQRT(3)/2)</f>
        <v>2.8867513459481291E-2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 t="b">
        <f>IF($A$163="Fraccionada",datos!E20,datos!E19)</f>
        <v>0</v>
      </c>
      <c r="C170" s="417"/>
      <c r="D170" s="405" t="s">
        <v>188</v>
      </c>
      <c r="E170" s="406">
        <f>SQRT((E171*E171)+(E172*E172)+(E173*E173))</f>
        <v>7.0663521942607221E-2</v>
      </c>
      <c r="F170" s="407" t="e">
        <f>IF($A$163="Fraccionada",B166*B165/POWER(B170,2),(100*B166)/POWER(B170,2))</f>
        <v>#DIV/0!</v>
      </c>
      <c r="G170" s="408" t="e">
        <f>(E170*F170)</f>
        <v>#DIV/0!</v>
      </c>
      <c r="H170" s="387"/>
      <c r="I170" s="393" t="str">
        <f>A170</f>
        <v>M total (g)</v>
      </c>
      <c r="J170" s="394" t="e">
        <f>G170</f>
        <v>#DIV/0!</v>
      </c>
    </row>
    <row r="171" spans="1:10" ht="19.5" customHeight="1" x14ac:dyDescent="0.2">
      <c r="A171" s="409" t="s">
        <v>187</v>
      </c>
      <c r="B171" s="410"/>
      <c r="C171" s="411">
        <f>+Balanza!$D$26</f>
        <v>0</v>
      </c>
      <c r="D171" s="412" t="s">
        <v>186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185</v>
      </c>
      <c r="B172" s="410"/>
      <c r="C172" s="416">
        <f>2*(SQRT(Balanza!$B$9+Balanza!$C$9*(POWER(B170,2))))</f>
        <v>0.12899612397277679</v>
      </c>
      <c r="D172" s="412" t="s">
        <v>184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183</v>
      </c>
      <c r="B173" s="410"/>
      <c r="C173" s="411">
        <f>+Balanza!$B$11</f>
        <v>0.1</v>
      </c>
      <c r="D173" s="412" t="s">
        <v>182</v>
      </c>
      <c r="E173" s="413">
        <f>(C173/SQRT(3)/2)</f>
        <v>2.8867513459481291E-2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245</v>
      </c>
      <c r="B174" s="404">
        <v>2.36</v>
      </c>
      <c r="C174" s="404"/>
      <c r="D174" s="405" t="s">
        <v>188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185</v>
      </c>
      <c r="B175" s="410"/>
      <c r="C175" s="419">
        <f>+Balanza!L37</f>
        <v>6.4999999999999997E-3</v>
      </c>
      <c r="D175" s="412" t="s">
        <v>184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246</v>
      </c>
      <c r="B176" s="421">
        <f>+Balanza!B62</f>
        <v>0.24270886010920917</v>
      </c>
      <c r="C176" s="421"/>
      <c r="D176" s="422" t="s">
        <v>180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197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#DIV/0!</v>
      </c>
      <c r="I178" s="434" t="str">
        <f>IF(B180=0,"---",(H178*2))</f>
        <v>---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334</v>
      </c>
      <c r="B180" s="525">
        <f>Balanza!D40</f>
        <v>0</v>
      </c>
      <c r="C180" s="404"/>
      <c r="D180" s="405" t="s">
        <v>188</v>
      </c>
      <c r="E180" s="406">
        <f>SQRT((E181*E181)+(E182*E182)+(E183*E183))</f>
        <v>7.0663521942607221E-2</v>
      </c>
      <c r="F180" s="407" t="e">
        <f>IF($A$163="Fraccionada",B179/B184,100/B184)</f>
        <v>#DIV/0!</v>
      </c>
      <c r="G180" s="408" t="e">
        <f>(E180*F180)</f>
        <v>#DIV/0!</v>
      </c>
      <c r="H180" s="389"/>
      <c r="J180" s="387"/>
    </row>
    <row r="181" spans="1:11" ht="19.5" customHeight="1" x14ac:dyDescent="0.2">
      <c r="A181" s="409" t="s">
        <v>187</v>
      </c>
      <c r="B181" s="410"/>
      <c r="C181" s="411">
        <f>Balanza!E40</f>
        <v>0</v>
      </c>
      <c r="D181" s="412" t="s">
        <v>186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185</v>
      </c>
      <c r="B182" s="410"/>
      <c r="C182" s="416">
        <f>2*(SQRT(Balanza!$B$9+Balanza!$C$9*(POWER(B180,2))))</f>
        <v>0.12899612397277679</v>
      </c>
      <c r="D182" s="412" t="s">
        <v>184</v>
      </c>
      <c r="E182" s="413">
        <f>C182/2</f>
        <v>6.4498061986388397E-2</v>
      </c>
      <c r="F182" s="414"/>
      <c r="G182" s="415"/>
      <c r="H182" s="387"/>
      <c r="I182" s="391" t="str">
        <f>A180</f>
        <v>M ret acumulado No. 10 (g)</v>
      </c>
      <c r="J182" s="392" t="e">
        <f>G180</f>
        <v>#DIV/0!</v>
      </c>
      <c r="K182" s="522" t="e">
        <f>+J182/J186</f>
        <v>#DIV/0!</v>
      </c>
    </row>
    <row r="183" spans="1:11" ht="19.5" customHeight="1" x14ac:dyDescent="0.2">
      <c r="A183" s="409" t="s">
        <v>183</v>
      </c>
      <c r="B183" s="410"/>
      <c r="C183" s="411">
        <f>+Balanza!$B$11</f>
        <v>0.1</v>
      </c>
      <c r="D183" s="412" t="s">
        <v>182</v>
      </c>
      <c r="E183" s="413">
        <f>(C183/SQRT(3)/2)</f>
        <v>2.8867513459481291E-2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#DIV/0!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 t="b">
        <f>IF($A$163="Fraccionada",datos!E20,datos!E19)</f>
        <v>0</v>
      </c>
      <c r="C184" s="417"/>
      <c r="D184" s="405" t="s">
        <v>188</v>
      </c>
      <c r="E184" s="406">
        <f>SQRT((E185*E185)+(E186*E186)+(E187*E187))</f>
        <v>7.0663521942607221E-2</v>
      </c>
      <c r="F184" s="407" t="e">
        <f>IF($A$163="Fraccionada",B180*B179/POWER(B184,2),(100*B180)/POWER(B184,2))</f>
        <v>#DIV/0!</v>
      </c>
      <c r="G184" s="408" t="e">
        <f>(E184*F184)</f>
        <v>#DIV/0!</v>
      </c>
      <c r="H184" s="387"/>
      <c r="I184" s="393" t="str">
        <f>A184</f>
        <v>M total (g)</v>
      </c>
      <c r="J184" s="394" t="e">
        <f>G184</f>
        <v>#DIV/0!</v>
      </c>
      <c r="K184" s="522" t="e">
        <f>+J184/J186</f>
        <v>#DIV/0!</v>
      </c>
    </row>
    <row r="185" spans="1:11" ht="19.5" customHeight="1" x14ac:dyDescent="0.2">
      <c r="A185" s="409" t="s">
        <v>187</v>
      </c>
      <c r="B185" s="410"/>
      <c r="C185" s="411">
        <f>+Balanza!$D$26</f>
        <v>0</v>
      </c>
      <c r="D185" s="412" t="s">
        <v>186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#DIV/0!</v>
      </c>
    </row>
    <row r="186" spans="1:11" ht="19.5" customHeight="1" x14ac:dyDescent="0.2">
      <c r="A186" s="409" t="s">
        <v>185</v>
      </c>
      <c r="B186" s="410"/>
      <c r="C186" s="416">
        <f>2*(SQRT(Balanza!$B$9+Balanza!$C$9*(POWER(B184,2))))</f>
        <v>0.12899612397277679</v>
      </c>
      <c r="D186" s="412" t="s">
        <v>184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#DIV/0!</v>
      </c>
    </row>
    <row r="187" spans="1:11" ht="19.5" customHeight="1" x14ac:dyDescent="0.2">
      <c r="A187" s="409" t="s">
        <v>183</v>
      </c>
      <c r="B187" s="410"/>
      <c r="C187" s="411">
        <f>+Balanza!$B$11</f>
        <v>0.1</v>
      </c>
      <c r="D187" s="412" t="s">
        <v>182</v>
      </c>
      <c r="E187" s="413">
        <f>(C187/SQRT(3)/2)</f>
        <v>2.8867513459481291E-2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196</v>
      </c>
      <c r="B188" s="404">
        <v>2</v>
      </c>
      <c r="C188" s="404"/>
      <c r="D188" s="405" t="s">
        <v>188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185</v>
      </c>
      <c r="B189" s="410"/>
      <c r="C189" s="419">
        <f>+Balanza!L38</f>
        <v>1.0999999999999999E-2</v>
      </c>
      <c r="D189" s="412" t="s">
        <v>184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195</v>
      </c>
      <c r="B190" s="421">
        <f>+Balanza!B63</f>
        <v>0.32081881115367472</v>
      </c>
      <c r="C190" s="421"/>
      <c r="D190" s="422" t="s">
        <v>180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247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#DIV/0!</v>
      </c>
      <c r="I192" s="434" t="str">
        <f>IF(B194=0,"---",(H192*2))</f>
        <v>---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335</v>
      </c>
      <c r="B194" s="525">
        <f>Balanza!D41</f>
        <v>0</v>
      </c>
      <c r="C194" s="404"/>
      <c r="D194" s="405" t="s">
        <v>188</v>
      </c>
      <c r="E194" s="406">
        <f>SQRT((E195*E195)+(E196*E196)+(E197*E197))</f>
        <v>7.0663521942607221E-2</v>
      </c>
      <c r="F194" s="407" t="e">
        <f>IF($A$163="Fraccionada",B193/B198,100/B198)</f>
        <v>#DIV/0!</v>
      </c>
      <c r="G194" s="408" t="e">
        <f>(E194*F194)</f>
        <v>#DIV/0!</v>
      </c>
      <c r="H194" s="389"/>
      <c r="J194" s="387"/>
    </row>
    <row r="195" spans="1:11" ht="19.5" customHeight="1" x14ac:dyDescent="0.2">
      <c r="A195" s="409" t="s">
        <v>187</v>
      </c>
      <c r="B195" s="410"/>
      <c r="C195" s="411">
        <f>Balanza!E41</f>
        <v>0</v>
      </c>
      <c r="D195" s="412" t="s">
        <v>186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185</v>
      </c>
      <c r="B196" s="410"/>
      <c r="C196" s="416">
        <f>2*(SQRT(Balanza!$B$9+Balanza!$C$9*(POWER(B194,2))))</f>
        <v>0.12899612397277679</v>
      </c>
      <c r="D196" s="412" t="s">
        <v>184</v>
      </c>
      <c r="E196" s="413">
        <f>C196/2</f>
        <v>6.4498061986388397E-2</v>
      </c>
      <c r="F196" s="414"/>
      <c r="G196" s="415"/>
      <c r="H196" s="387"/>
      <c r="I196" s="391" t="str">
        <f>A194</f>
        <v>M ret acumulado No. 16 (g)</v>
      </c>
      <c r="J196" s="392" t="e">
        <f>G194</f>
        <v>#DIV/0!</v>
      </c>
      <c r="K196" s="522" t="e">
        <f>+J196/J200</f>
        <v>#DIV/0!</v>
      </c>
    </row>
    <row r="197" spans="1:11" ht="19.5" customHeight="1" x14ac:dyDescent="0.2">
      <c r="A197" s="409" t="s">
        <v>183</v>
      </c>
      <c r="B197" s="410"/>
      <c r="C197" s="411">
        <f>+Balanza!$B$11</f>
        <v>0.1</v>
      </c>
      <c r="D197" s="412" t="s">
        <v>182</v>
      </c>
      <c r="E197" s="413">
        <f>(C197/SQRT(3)/2)</f>
        <v>2.8867513459481291E-2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#DIV/0!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 t="b">
        <f>IF($A$163="Fraccionada",datos!$E$20,datos!$E$19)</f>
        <v>0</v>
      </c>
      <c r="C198" s="417"/>
      <c r="D198" s="405" t="s">
        <v>188</v>
      </c>
      <c r="E198" s="406">
        <f>SQRT((E199*E199)+(E200*E200)+(E201*E201))</f>
        <v>7.0663521942607221E-2</v>
      </c>
      <c r="F198" s="407" t="e">
        <f>IF($A$163="Fraccionada",B194*B193/POWER(B198,2),(100*B194)/POWER(B198,2))</f>
        <v>#DIV/0!</v>
      </c>
      <c r="G198" s="408" t="e">
        <f>(E198*F198)</f>
        <v>#DIV/0!</v>
      </c>
      <c r="H198" s="387"/>
      <c r="I198" s="393" t="str">
        <f>A198</f>
        <v>M total (g)</v>
      </c>
      <c r="J198" s="394" t="e">
        <f>G198</f>
        <v>#DIV/0!</v>
      </c>
      <c r="K198" s="522" t="e">
        <f>+J198/J200</f>
        <v>#DIV/0!</v>
      </c>
    </row>
    <row r="199" spans="1:11" ht="19.5" customHeight="1" x14ac:dyDescent="0.2">
      <c r="A199" s="409" t="s">
        <v>187</v>
      </c>
      <c r="B199" s="410"/>
      <c r="C199" s="411">
        <f>+Balanza!$D$26</f>
        <v>0</v>
      </c>
      <c r="D199" s="412" t="s">
        <v>186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#DIV/0!</v>
      </c>
    </row>
    <row r="200" spans="1:11" ht="19.5" customHeight="1" x14ac:dyDescent="0.2">
      <c r="A200" s="409" t="s">
        <v>185</v>
      </c>
      <c r="B200" s="410"/>
      <c r="C200" s="416">
        <f>2*(SQRT(Balanza!$B$9+Balanza!$C$9*(POWER(B198,2))))</f>
        <v>0.12899612397277679</v>
      </c>
      <c r="D200" s="412" t="s">
        <v>184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#DIV/0!</v>
      </c>
    </row>
    <row r="201" spans="1:11" ht="19.5" customHeight="1" x14ac:dyDescent="0.2">
      <c r="A201" s="409" t="s">
        <v>183</v>
      </c>
      <c r="B201" s="410"/>
      <c r="C201" s="411">
        <f>+Balanza!$B$11</f>
        <v>0.1</v>
      </c>
      <c r="D201" s="412" t="s">
        <v>182</v>
      </c>
      <c r="E201" s="413">
        <f>(C201/SQRT(3)/2)</f>
        <v>2.8867513459481291E-2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248</v>
      </c>
      <c r="B202" s="404">
        <v>1.19</v>
      </c>
      <c r="C202" s="404"/>
      <c r="D202" s="405" t="s">
        <v>188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185</v>
      </c>
      <c r="B203" s="410"/>
      <c r="C203" s="419">
        <f>+Balanza!L39</f>
        <v>5.4000000000000003E-3</v>
      </c>
      <c r="D203" s="412" t="s">
        <v>184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249</v>
      </c>
      <c r="B204" s="421">
        <f>+Balanza!B64</f>
        <v>0.53458571667600707</v>
      </c>
      <c r="C204" s="421"/>
      <c r="D204" s="422" t="s">
        <v>180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250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#DIV/0!</v>
      </c>
      <c r="I206" s="434" t="str">
        <f>IF(B208=0,"---",(H206*2))</f>
        <v>---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340</v>
      </c>
      <c r="B208" s="525">
        <f>Balanza!D42</f>
        <v>0</v>
      </c>
      <c r="C208" s="404"/>
      <c r="D208" s="405" t="s">
        <v>188</v>
      </c>
      <c r="E208" s="406">
        <f>SQRT((E209*E209)+(E210*E210)+(E211*E211))</f>
        <v>7.0663521942607221E-2</v>
      </c>
      <c r="F208" s="407" t="e">
        <f>IF($A$163="Fraccionada",B207/B212,100/B212)</f>
        <v>#DIV/0!</v>
      </c>
      <c r="G208" s="408" t="e">
        <f>(E208*F208)</f>
        <v>#DIV/0!</v>
      </c>
      <c r="H208" s="389"/>
      <c r="J208" s="387"/>
    </row>
    <row r="209" spans="1:11" ht="19.5" customHeight="1" x14ac:dyDescent="0.2">
      <c r="A209" s="409" t="s">
        <v>187</v>
      </c>
      <c r="B209" s="410"/>
      <c r="C209" s="411">
        <f>Balanza!E42</f>
        <v>0</v>
      </c>
      <c r="D209" s="412" t="s">
        <v>186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185</v>
      </c>
      <c r="B210" s="410"/>
      <c r="C210" s="416">
        <f>2*(SQRT(Balanza!$B$9+Balanza!$C$9*(POWER(B208,2))))</f>
        <v>0.12899612397277679</v>
      </c>
      <c r="D210" s="412" t="s">
        <v>184</v>
      </c>
      <c r="E210" s="413">
        <f>C210/2</f>
        <v>6.4498061986388397E-2</v>
      </c>
      <c r="F210" s="414"/>
      <c r="G210" s="415"/>
      <c r="H210" s="387"/>
      <c r="I210" s="391" t="str">
        <f>A208</f>
        <v>M ret acumulado No. 30 (g)</v>
      </c>
      <c r="J210" s="392" t="e">
        <f>G208</f>
        <v>#DIV/0!</v>
      </c>
      <c r="K210" s="522" t="e">
        <f>+J210/J214</f>
        <v>#DIV/0!</v>
      </c>
    </row>
    <row r="211" spans="1:11" ht="19.5" customHeight="1" x14ac:dyDescent="0.2">
      <c r="A211" s="409" t="s">
        <v>183</v>
      </c>
      <c r="B211" s="410"/>
      <c r="C211" s="411">
        <f>+Balanza!$B$11</f>
        <v>0.1</v>
      </c>
      <c r="D211" s="412" t="s">
        <v>182</v>
      </c>
      <c r="E211" s="413">
        <f>(C211/SQRT(3)/2)</f>
        <v>2.8867513459481291E-2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#DIV/0!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 t="b">
        <f>IF($A$163="Fraccionada",datos!$E$20,datos!$E$19)</f>
        <v>0</v>
      </c>
      <c r="C212" s="417"/>
      <c r="D212" s="405" t="s">
        <v>188</v>
      </c>
      <c r="E212" s="406">
        <f>SQRT((E213*E213)+(E214*E214)+(E215*E215))</f>
        <v>7.0663521942607221E-2</v>
      </c>
      <c r="F212" s="407" t="e">
        <f>IF($A$163="Fraccionada",B208*B207/POWER(B212,2),(100*B208)/POWER(B212,2))</f>
        <v>#DIV/0!</v>
      </c>
      <c r="G212" s="408" t="e">
        <f>(E212*F212)</f>
        <v>#DIV/0!</v>
      </c>
      <c r="H212" s="387"/>
      <c r="I212" s="393" t="str">
        <f>A212</f>
        <v>M total (g)</v>
      </c>
      <c r="J212" s="394" t="e">
        <f>G212</f>
        <v>#DIV/0!</v>
      </c>
      <c r="K212" s="522" t="e">
        <f>+J212/J214</f>
        <v>#DIV/0!</v>
      </c>
    </row>
    <row r="213" spans="1:11" ht="19.5" customHeight="1" x14ac:dyDescent="0.2">
      <c r="A213" s="409" t="s">
        <v>187</v>
      </c>
      <c r="B213" s="410"/>
      <c r="C213" s="411">
        <f>+Balanza!$D$26</f>
        <v>0</v>
      </c>
      <c r="D213" s="412" t="s">
        <v>186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#DIV/0!</v>
      </c>
    </row>
    <row r="214" spans="1:11" ht="19.5" customHeight="1" x14ac:dyDescent="0.2">
      <c r="A214" s="409" t="s">
        <v>185</v>
      </c>
      <c r="B214" s="410"/>
      <c r="C214" s="416">
        <f>2*(SQRT(Balanza!$B$9+Balanza!$C$9*(POWER(B212,2))))</f>
        <v>0.12899612397277679</v>
      </c>
      <c r="D214" s="412" t="s">
        <v>184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#DIV/0!</v>
      </c>
    </row>
    <row r="215" spans="1:11" ht="19.5" customHeight="1" x14ac:dyDescent="0.2">
      <c r="A215" s="409" t="s">
        <v>183</v>
      </c>
      <c r="B215" s="410"/>
      <c r="C215" s="411">
        <f>+Balanza!$B$11</f>
        <v>0.1</v>
      </c>
      <c r="D215" s="412" t="s">
        <v>182</v>
      </c>
      <c r="E215" s="413">
        <f>(C215/SQRT(3)/2)</f>
        <v>2.8867513459481291E-2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251</v>
      </c>
      <c r="B216" s="404">
        <v>0.6</v>
      </c>
      <c r="C216" s="404"/>
      <c r="D216" s="405" t="s">
        <v>188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185</v>
      </c>
      <c r="B217" s="410"/>
      <c r="C217" s="419">
        <f>+Balanza!L40</f>
        <v>3.5000000000000001E-3</v>
      </c>
      <c r="D217" s="412" t="s">
        <v>184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252</v>
      </c>
      <c r="B218" s="421">
        <f>+Balanza!B65</f>
        <v>0.48239791708632423</v>
      </c>
      <c r="C218" s="421"/>
      <c r="D218" s="422" t="s">
        <v>180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194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#DIV/0!</v>
      </c>
      <c r="I220" s="434" t="str">
        <f>IF(B222=0,"---",(H220*2))</f>
        <v>---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339</v>
      </c>
      <c r="B222" s="525">
        <f>Balanza!D43</f>
        <v>0</v>
      </c>
      <c r="C222" s="404"/>
      <c r="D222" s="405" t="s">
        <v>188</v>
      </c>
      <c r="E222" s="406">
        <f>SQRT((E223*E223)+(E224*E224)+(E225*E225))</f>
        <v>7.0663521942607221E-2</v>
      </c>
      <c r="F222" s="407" t="e">
        <f>IF($A$163="Fraccionada",B221/B226,100/B226)</f>
        <v>#DIV/0!</v>
      </c>
      <c r="G222" s="408" t="e">
        <f>(E222*F222)</f>
        <v>#DIV/0!</v>
      </c>
      <c r="H222" s="389"/>
      <c r="J222" s="387"/>
    </row>
    <row r="223" spans="1:11" ht="19.5" customHeight="1" x14ac:dyDescent="0.2">
      <c r="A223" s="409" t="s">
        <v>187</v>
      </c>
      <c r="B223" s="410"/>
      <c r="C223" s="411">
        <f>Balanza!E43</f>
        <v>0</v>
      </c>
      <c r="D223" s="412" t="s">
        <v>186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185</v>
      </c>
      <c r="B224" s="410"/>
      <c r="C224" s="416">
        <f>2*(SQRT(Balanza!$B$9+Balanza!$C$9*(POWER(B222,2))))</f>
        <v>0.12899612397277679</v>
      </c>
      <c r="D224" s="412" t="s">
        <v>184</v>
      </c>
      <c r="E224" s="413">
        <f>C224/2</f>
        <v>6.4498061986388397E-2</v>
      </c>
      <c r="F224" s="414"/>
      <c r="G224" s="415"/>
      <c r="H224" s="387"/>
      <c r="I224" s="391" t="str">
        <f>A222</f>
        <v>M ret acumulado No. 40 (g)</v>
      </c>
      <c r="J224" s="392" t="e">
        <f>G222</f>
        <v>#DIV/0!</v>
      </c>
      <c r="K224" s="522" t="e">
        <f>+J224/J228</f>
        <v>#DIV/0!</v>
      </c>
    </row>
    <row r="225" spans="1:11" ht="19.5" customHeight="1" x14ac:dyDescent="0.2">
      <c r="A225" s="409" t="s">
        <v>183</v>
      </c>
      <c r="B225" s="410"/>
      <c r="C225" s="411">
        <f>+Balanza!$B$11</f>
        <v>0.1</v>
      </c>
      <c r="D225" s="412" t="s">
        <v>182</v>
      </c>
      <c r="E225" s="413">
        <f>(C225/SQRT(3)/2)</f>
        <v>2.8867513459481291E-2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#DIV/0!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 t="b">
        <f>IF($A$163="Fraccionada",datos!$E$20,datos!$E$19)</f>
        <v>0</v>
      </c>
      <c r="C226" s="417"/>
      <c r="D226" s="405" t="s">
        <v>188</v>
      </c>
      <c r="E226" s="406">
        <f>SQRT((E227*E227)+(E228*E228)+(E229*E229))</f>
        <v>7.0663521942607221E-2</v>
      </c>
      <c r="F226" s="407" t="e">
        <f>IF($A$163="Fraccionada",B222*B221/POWER(B226,2),(100*B222)/POWER(B226,2))</f>
        <v>#DIV/0!</v>
      </c>
      <c r="G226" s="408" t="e">
        <f>(E226*F226)</f>
        <v>#DIV/0!</v>
      </c>
      <c r="H226" s="387"/>
      <c r="I226" s="393" t="str">
        <f>A226</f>
        <v>M total (g)</v>
      </c>
      <c r="J226" s="394" t="e">
        <f>G226</f>
        <v>#DIV/0!</v>
      </c>
      <c r="K226" s="522" t="e">
        <f>+J226/J228</f>
        <v>#DIV/0!</v>
      </c>
    </row>
    <row r="227" spans="1:11" ht="19.5" customHeight="1" x14ac:dyDescent="0.2">
      <c r="A227" s="409" t="s">
        <v>187</v>
      </c>
      <c r="B227" s="410"/>
      <c r="C227" s="411">
        <f>+Balanza!$D$26</f>
        <v>0</v>
      </c>
      <c r="D227" s="412" t="s">
        <v>186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#DIV/0!</v>
      </c>
    </row>
    <row r="228" spans="1:11" ht="19.5" customHeight="1" x14ac:dyDescent="0.2">
      <c r="A228" s="409" t="s">
        <v>185</v>
      </c>
      <c r="B228" s="410"/>
      <c r="C228" s="416">
        <f>2*(SQRT(Balanza!$B$9+Balanza!$C$9*(POWER(B226,2))))</f>
        <v>0.12899612397277679</v>
      </c>
      <c r="D228" s="412" t="s">
        <v>184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#DIV/0!</v>
      </c>
    </row>
    <row r="229" spans="1:11" ht="19.5" customHeight="1" x14ac:dyDescent="0.2">
      <c r="A229" s="409" t="s">
        <v>183</v>
      </c>
      <c r="B229" s="410"/>
      <c r="C229" s="411">
        <f>+Balanza!$B$11</f>
        <v>0.1</v>
      </c>
      <c r="D229" s="412" t="s">
        <v>182</v>
      </c>
      <c r="E229" s="413">
        <f>(C229/SQRT(3)/2)</f>
        <v>2.8867513459481291E-2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193</v>
      </c>
      <c r="B230" s="404">
        <v>0.42</v>
      </c>
      <c r="C230" s="404"/>
      <c r="D230" s="405" t="s">
        <v>188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185</v>
      </c>
      <c r="B231" s="410"/>
      <c r="C231" s="419">
        <f>+Balanza!L41</f>
        <v>2.7000000000000001E-3</v>
      </c>
      <c r="D231" s="412" t="s">
        <v>184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192</v>
      </c>
      <c r="B232" s="421">
        <f>+Balanza!B66</f>
        <v>0.34208544824232401</v>
      </c>
      <c r="C232" s="421"/>
      <c r="D232" s="422" t="s">
        <v>180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253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#DIV/0!</v>
      </c>
      <c r="I234" s="434" t="str">
        <f>IF(B236=0,"---",(H234*2))</f>
        <v>---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338</v>
      </c>
      <c r="B236" s="525">
        <f>Balanza!D44</f>
        <v>0</v>
      </c>
      <c r="C236" s="404"/>
      <c r="D236" s="405" t="s">
        <v>188</v>
      </c>
      <c r="E236" s="406">
        <f>SQRT((E237*E237)+(E238*E238)+(E239*E239))</f>
        <v>7.0663521942607221E-2</v>
      </c>
      <c r="F236" s="407" t="e">
        <f>IF($A$163="Fraccionada",B235/B240,100/B240)</f>
        <v>#DIV/0!</v>
      </c>
      <c r="G236" s="408" t="e">
        <f>(E236*F236)</f>
        <v>#DIV/0!</v>
      </c>
      <c r="H236" s="389"/>
      <c r="J236" s="387"/>
    </row>
    <row r="237" spans="1:11" ht="19.5" customHeight="1" x14ac:dyDescent="0.2">
      <c r="A237" s="409" t="s">
        <v>187</v>
      </c>
      <c r="B237" s="410"/>
      <c r="C237" s="411">
        <f>Balanza!E44</f>
        <v>0</v>
      </c>
      <c r="D237" s="412" t="s">
        <v>186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185</v>
      </c>
      <c r="B238" s="410"/>
      <c r="C238" s="416">
        <f>2*(SQRT(Balanza!$B$9+Balanza!$C$9*(POWER(B236,2))))</f>
        <v>0.12899612397277679</v>
      </c>
      <c r="D238" s="412" t="s">
        <v>184</v>
      </c>
      <c r="E238" s="413">
        <f>C238/2</f>
        <v>6.4498061986388397E-2</v>
      </c>
      <c r="F238" s="414"/>
      <c r="G238" s="415"/>
      <c r="H238" s="387"/>
      <c r="I238" s="391" t="str">
        <f>A236</f>
        <v>M ret acumulado No. 50 (g)</v>
      </c>
      <c r="J238" s="392" t="e">
        <f>G236</f>
        <v>#DIV/0!</v>
      </c>
      <c r="K238" s="522" t="e">
        <f>+J238/J242</f>
        <v>#DIV/0!</v>
      </c>
    </row>
    <row r="239" spans="1:11" ht="19.5" customHeight="1" x14ac:dyDescent="0.2">
      <c r="A239" s="409" t="s">
        <v>183</v>
      </c>
      <c r="B239" s="410"/>
      <c r="C239" s="411">
        <f>+Balanza!$B$11</f>
        <v>0.1</v>
      </c>
      <c r="D239" s="412" t="s">
        <v>182</v>
      </c>
      <c r="E239" s="413">
        <f>(C239/SQRT(3)/2)</f>
        <v>2.8867513459481291E-2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#DIV/0!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 t="b">
        <f>IF($A$163="Fraccionada",datos!$E$20,datos!$E$19)</f>
        <v>0</v>
      </c>
      <c r="C240" s="417"/>
      <c r="D240" s="405" t="s">
        <v>188</v>
      </c>
      <c r="E240" s="406">
        <f>SQRT((E241*E241)+(E242*E242)+(E243*E243))</f>
        <v>7.0663521942607221E-2</v>
      </c>
      <c r="F240" s="407" t="e">
        <f>IF($A$163="Fraccionada",B236*B235/POWER(B240,2),(100*B236)/POWER(B240,2))</f>
        <v>#DIV/0!</v>
      </c>
      <c r="G240" s="408" t="e">
        <f>(E240*F240)</f>
        <v>#DIV/0!</v>
      </c>
      <c r="H240" s="387"/>
      <c r="I240" s="393" t="str">
        <f>A240</f>
        <v>M total (g)</v>
      </c>
      <c r="J240" s="394" t="e">
        <f>G240</f>
        <v>#DIV/0!</v>
      </c>
      <c r="K240" s="522" t="e">
        <f>+J240/J242</f>
        <v>#DIV/0!</v>
      </c>
    </row>
    <row r="241" spans="1:11" ht="19.5" customHeight="1" x14ac:dyDescent="0.2">
      <c r="A241" s="409" t="s">
        <v>187</v>
      </c>
      <c r="B241" s="410"/>
      <c r="C241" s="411">
        <f>+Balanza!$D$26</f>
        <v>0</v>
      </c>
      <c r="D241" s="412" t="s">
        <v>186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#DIV/0!</v>
      </c>
    </row>
    <row r="242" spans="1:11" ht="19.5" customHeight="1" x14ac:dyDescent="0.2">
      <c r="A242" s="409" t="s">
        <v>185</v>
      </c>
      <c r="B242" s="410"/>
      <c r="C242" s="416">
        <f>2*(SQRT(Balanza!$B$9+Balanza!$C$9*(POWER(B240,2))))</f>
        <v>0.12899612397277679</v>
      </c>
      <c r="D242" s="412" t="s">
        <v>184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#DIV/0!</v>
      </c>
    </row>
    <row r="243" spans="1:11" ht="19.5" customHeight="1" x14ac:dyDescent="0.2">
      <c r="A243" s="409" t="s">
        <v>183</v>
      </c>
      <c r="B243" s="410"/>
      <c r="C243" s="411">
        <f>+Balanza!$B$11</f>
        <v>0.1</v>
      </c>
      <c r="D243" s="412" t="s">
        <v>182</v>
      </c>
      <c r="E243" s="413">
        <f>(C243/SQRT(3)/2)</f>
        <v>2.8867513459481291E-2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254</v>
      </c>
      <c r="B244" s="404">
        <v>0.3</v>
      </c>
      <c r="C244" s="404"/>
      <c r="D244" s="405" t="s">
        <v>188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185</v>
      </c>
      <c r="B245" s="410"/>
      <c r="C245" s="419">
        <f>+Balanza!L42</f>
        <v>2.5000000000000001E-3</v>
      </c>
      <c r="D245" s="412" t="s">
        <v>184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255</v>
      </c>
      <c r="B246" s="421">
        <f>+Balanza!B67</f>
        <v>0.45392671715941679</v>
      </c>
      <c r="C246" s="421"/>
      <c r="D246" s="422" t="s">
        <v>180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256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#DIV/0!</v>
      </c>
      <c r="I248" s="434" t="str">
        <f>IF(B250=0,"---",(H248*2))</f>
        <v>---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337</v>
      </c>
      <c r="B250" s="525">
        <f>Balanza!D45</f>
        <v>0</v>
      </c>
      <c r="C250" s="404"/>
      <c r="D250" s="405" t="s">
        <v>188</v>
      </c>
      <c r="E250" s="406">
        <f>SQRT((E251*E251)+(E252*E252)+(E253*E253))</f>
        <v>7.0663521942607221E-2</v>
      </c>
      <c r="F250" s="407" t="e">
        <f>IF($A$163="Fraccionada",B249/B254,100/B254)</f>
        <v>#DIV/0!</v>
      </c>
      <c r="G250" s="408" t="e">
        <f>(E250*F250)</f>
        <v>#DIV/0!</v>
      </c>
      <c r="H250" s="389"/>
      <c r="J250" s="387"/>
    </row>
    <row r="251" spans="1:11" ht="19.5" customHeight="1" x14ac:dyDescent="0.2">
      <c r="A251" s="409" t="s">
        <v>187</v>
      </c>
      <c r="B251" s="410"/>
      <c r="C251" s="411">
        <f>Balanza!E45</f>
        <v>0</v>
      </c>
      <c r="D251" s="412" t="s">
        <v>186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185</v>
      </c>
      <c r="B252" s="410"/>
      <c r="C252" s="416">
        <f>2*(SQRT(Balanza!$B$9+Balanza!$C$9*(POWER(B250,2))))</f>
        <v>0.12899612397277679</v>
      </c>
      <c r="D252" s="412" t="s">
        <v>184</v>
      </c>
      <c r="E252" s="413">
        <f>C252/2</f>
        <v>6.4498061986388397E-2</v>
      </c>
      <c r="F252" s="414"/>
      <c r="G252" s="415"/>
      <c r="H252" s="387"/>
      <c r="I252" s="391" t="str">
        <f>A250</f>
        <v>M ret acumulado No. 100 (g)</v>
      </c>
      <c r="J252" s="392" t="e">
        <f>G250</f>
        <v>#DIV/0!</v>
      </c>
      <c r="K252" s="522" t="e">
        <f>+J252/J256</f>
        <v>#DIV/0!</v>
      </c>
    </row>
    <row r="253" spans="1:11" ht="19.5" customHeight="1" x14ac:dyDescent="0.2">
      <c r="A253" s="409" t="s">
        <v>183</v>
      </c>
      <c r="B253" s="410"/>
      <c r="C253" s="411">
        <f>+Balanza!$B$11</f>
        <v>0.1</v>
      </c>
      <c r="D253" s="412" t="s">
        <v>182</v>
      </c>
      <c r="E253" s="413">
        <f>(C253/SQRT(3)/2)</f>
        <v>2.8867513459481291E-2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#DIV/0!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 t="b">
        <f>IF($A$163="Fraccionada",datos!$E$20,datos!$E$19)</f>
        <v>0</v>
      </c>
      <c r="C254" s="417"/>
      <c r="D254" s="405" t="s">
        <v>188</v>
      </c>
      <c r="E254" s="406">
        <f>SQRT((E255*E255)+(E256*E256)+(E257*E257))</f>
        <v>7.0663521942607221E-2</v>
      </c>
      <c r="F254" s="407" t="e">
        <f>IF($A$163="Fraccionada",B250*B249/POWER(B254,2),(100*B250)/POWER(B254,2))</f>
        <v>#DIV/0!</v>
      </c>
      <c r="G254" s="408" t="e">
        <f>(E254*F254)</f>
        <v>#DIV/0!</v>
      </c>
      <c r="H254" s="387"/>
      <c r="I254" s="393" t="str">
        <f>A254</f>
        <v>M total (g)</v>
      </c>
      <c r="J254" s="394" t="e">
        <f>G254</f>
        <v>#DIV/0!</v>
      </c>
      <c r="K254" s="522" t="e">
        <f>+J254/J256</f>
        <v>#DIV/0!</v>
      </c>
    </row>
    <row r="255" spans="1:11" ht="19.5" customHeight="1" x14ac:dyDescent="0.2">
      <c r="A255" s="409" t="s">
        <v>187</v>
      </c>
      <c r="B255" s="410"/>
      <c r="C255" s="411">
        <f>+Balanza!$D$26</f>
        <v>0</v>
      </c>
      <c r="D255" s="412" t="s">
        <v>186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#DIV/0!</v>
      </c>
    </row>
    <row r="256" spans="1:11" ht="19.5" customHeight="1" x14ac:dyDescent="0.2">
      <c r="A256" s="409" t="s">
        <v>185</v>
      </c>
      <c r="B256" s="410"/>
      <c r="C256" s="416">
        <f>2*(SQRT(Balanza!$B$9+Balanza!$C$9*(POWER(B254,2))))</f>
        <v>0.12899612397277679</v>
      </c>
      <c r="D256" s="412" t="s">
        <v>184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#DIV/0!</v>
      </c>
    </row>
    <row r="257" spans="1:11" ht="19.5" customHeight="1" x14ac:dyDescent="0.2">
      <c r="A257" s="409" t="s">
        <v>183</v>
      </c>
      <c r="B257" s="410"/>
      <c r="C257" s="411">
        <f>+Balanza!$B$11</f>
        <v>0.1</v>
      </c>
      <c r="D257" s="412" t="s">
        <v>182</v>
      </c>
      <c r="E257" s="413">
        <f>(C257/SQRT(3)/2)</f>
        <v>2.8867513459481291E-2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330</v>
      </c>
      <c r="B258" s="404">
        <v>0.15</v>
      </c>
      <c r="C258" s="404"/>
      <c r="D258" s="405" t="s">
        <v>188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185</v>
      </c>
      <c r="B259" s="410"/>
      <c r="C259" s="419">
        <f>+Balanza!L43</f>
        <v>1.2999999999999999E-3</v>
      </c>
      <c r="D259" s="412" t="s">
        <v>184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331</v>
      </c>
      <c r="B260" s="421">
        <f>+Balanza!B68</f>
        <v>0.24282402392218505</v>
      </c>
      <c r="C260" s="421"/>
      <c r="D260" s="422" t="s">
        <v>180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191</v>
      </c>
      <c r="B262" s="569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#DIV/0!</v>
      </c>
      <c r="I262" s="570" t="str">
        <f>IF(B264=0,"---",(H262*2))</f>
        <v>---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336</v>
      </c>
      <c r="B264" s="525">
        <f>Balanza!D46</f>
        <v>0</v>
      </c>
      <c r="C264" s="404"/>
      <c r="D264" s="405" t="s">
        <v>188</v>
      </c>
      <c r="E264" s="406">
        <f>SQRT((E265*E265)+(E266*E266)+(E267*E267))</f>
        <v>7.0663521942607221E-2</v>
      </c>
      <c r="F264" s="407" t="e">
        <f>IF($A$163="Fraccionada",B263/B268,100/B268)</f>
        <v>#DIV/0!</v>
      </c>
      <c r="G264" s="408" t="e">
        <f>(E264*F264)</f>
        <v>#DIV/0!</v>
      </c>
      <c r="H264" s="389"/>
      <c r="J264" s="387"/>
    </row>
    <row r="265" spans="1:11" ht="19.5" customHeight="1" x14ac:dyDescent="0.2">
      <c r="A265" s="409" t="s">
        <v>187</v>
      </c>
      <c r="B265" s="410"/>
      <c r="C265" s="411">
        <f>Balanza!E46</f>
        <v>0</v>
      </c>
      <c r="D265" s="412" t="s">
        <v>186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185</v>
      </c>
      <c r="B266" s="410"/>
      <c r="C266" s="416">
        <f>2*(SQRT(Balanza!$B$9+Balanza!$C$9*(POWER(B264,2))))</f>
        <v>0.12899612397277679</v>
      </c>
      <c r="D266" s="412" t="s">
        <v>184</v>
      </c>
      <c r="E266" s="413">
        <f>C266/2</f>
        <v>6.4498061986388397E-2</v>
      </c>
      <c r="F266" s="414"/>
      <c r="G266" s="415"/>
      <c r="H266" s="387"/>
      <c r="I266" s="391" t="str">
        <f>A264</f>
        <v>M ret acumulado No. 200 (g)</v>
      </c>
      <c r="J266" s="392" t="e">
        <f>G264</f>
        <v>#DIV/0!</v>
      </c>
      <c r="K266" s="522" t="e">
        <f>+J266/J270</f>
        <v>#DIV/0!</v>
      </c>
    </row>
    <row r="267" spans="1:11" ht="19.5" customHeight="1" x14ac:dyDescent="0.2">
      <c r="A267" s="409" t="s">
        <v>183</v>
      </c>
      <c r="B267" s="410"/>
      <c r="C267" s="411">
        <f>+Balanza!$B$11</f>
        <v>0.1</v>
      </c>
      <c r="D267" s="412" t="s">
        <v>182</v>
      </c>
      <c r="E267" s="413">
        <f>(C267/SQRT(3)/2)</f>
        <v>2.8867513459481291E-2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#DIV/0!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 t="b">
        <f>IF($A$163="Fraccionada",datos!$E$20,datos!$E$19)</f>
        <v>0</v>
      </c>
      <c r="C268" s="417"/>
      <c r="D268" s="405" t="s">
        <v>188</v>
      </c>
      <c r="E268" s="406">
        <f>SQRT((E269*E269)+(E270*E270)+(E271*E271))</f>
        <v>7.0663521942607221E-2</v>
      </c>
      <c r="F268" s="407" t="e">
        <f>IF($A$163="Fraccionada",B264*B263/POWER(B268,2),(100*B264)/POWER(B268,2))</f>
        <v>#DIV/0!</v>
      </c>
      <c r="G268" s="408" t="e">
        <f>(E268*F268)</f>
        <v>#DIV/0!</v>
      </c>
      <c r="H268" s="387"/>
      <c r="I268" s="393" t="str">
        <f>A268</f>
        <v>M total (g)</v>
      </c>
      <c r="J268" s="394" t="e">
        <f>G268</f>
        <v>#DIV/0!</v>
      </c>
      <c r="K268" s="522" t="e">
        <f>+J268/J270</f>
        <v>#DIV/0!</v>
      </c>
    </row>
    <row r="269" spans="1:11" ht="19.5" customHeight="1" x14ac:dyDescent="0.2">
      <c r="A269" s="409" t="s">
        <v>187</v>
      </c>
      <c r="B269" s="410"/>
      <c r="C269" s="411">
        <f>+Balanza!$D$26</f>
        <v>0</v>
      </c>
      <c r="D269" s="412" t="s">
        <v>186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#DIV/0!</v>
      </c>
    </row>
    <row r="270" spans="1:11" ht="19.5" customHeight="1" x14ac:dyDescent="0.2">
      <c r="A270" s="409" t="s">
        <v>185</v>
      </c>
      <c r="B270" s="410"/>
      <c r="C270" s="416">
        <f>2*(SQRT(Balanza!$B$9+Balanza!$C$9*(POWER(B268,2))))</f>
        <v>0.12899612397277679</v>
      </c>
      <c r="D270" s="412" t="s">
        <v>184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#DIV/0!</v>
      </c>
    </row>
    <row r="271" spans="1:11" ht="19.5" customHeight="1" x14ac:dyDescent="0.2">
      <c r="A271" s="409" t="s">
        <v>183</v>
      </c>
      <c r="B271" s="410"/>
      <c r="C271" s="411">
        <f>+Balanza!$B$11</f>
        <v>0.1</v>
      </c>
      <c r="D271" s="412" t="s">
        <v>182</v>
      </c>
      <c r="E271" s="413">
        <f>(C271/SQRT(3)/2)</f>
        <v>2.8867513459481291E-2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190</v>
      </c>
      <c r="B272" s="436">
        <v>7.4999999999999997E-2</v>
      </c>
      <c r="C272" s="436"/>
      <c r="D272" s="405" t="s">
        <v>188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185</v>
      </c>
      <c r="B273" s="410"/>
      <c r="C273" s="437">
        <f>+Balanza!L44</f>
        <v>1.2999999999999999E-3</v>
      </c>
      <c r="D273" s="412" t="s">
        <v>184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181</v>
      </c>
      <c r="B274" s="421">
        <f>+Balanza!B69</f>
        <v>0.31355805092132405</v>
      </c>
      <c r="C274" s="421"/>
      <c r="D274" s="422" t="s">
        <v>180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3.2" x14ac:dyDescent="0.2">
      <c r="A278" s="785" t="s">
        <v>457</v>
      </c>
      <c r="B278" s="901" t="s">
        <v>458</v>
      </c>
      <c r="C278" s="902"/>
      <c r="D278" s="786"/>
      <c r="E278" s="903" t="s">
        <v>459</v>
      </c>
      <c r="F278" s="903"/>
      <c r="G278" s="904" t="s">
        <v>460</v>
      </c>
      <c r="H278" s="905"/>
      <c r="I278" s="546"/>
    </row>
    <row r="279" spans="1:10" ht="13.2" x14ac:dyDescent="0.2">
      <c r="A279" s="546"/>
      <c r="B279" s="546"/>
      <c r="C279" s="546"/>
      <c r="D279" s="546"/>
      <c r="E279" s="546"/>
      <c r="F279" s="546"/>
      <c r="G279" s="546"/>
      <c r="H279" s="546"/>
      <c r="I279" s="546"/>
    </row>
    <row r="280" spans="1:10" ht="13.2" x14ac:dyDescent="0.2">
      <c r="A280" s="787" t="s">
        <v>461</v>
      </c>
      <c r="B280" s="885">
        <v>44944</v>
      </c>
      <c r="C280" s="886"/>
      <c r="D280" s="546"/>
      <c r="E280" s="887" t="s">
        <v>462</v>
      </c>
      <c r="F280" s="887"/>
      <c r="G280" s="885">
        <v>44944</v>
      </c>
      <c r="H280" s="886"/>
      <c r="I280" s="546"/>
    </row>
    <row r="281" spans="1:10" ht="13.2" x14ac:dyDescent="0.2">
      <c r="A281" s="546"/>
      <c r="B281" s="546"/>
      <c r="C281" s="546"/>
      <c r="D281" s="546"/>
      <c r="E281" s="546"/>
      <c r="F281" s="546"/>
      <c r="G281" s="546"/>
      <c r="H281" s="546"/>
      <c r="I281" s="546"/>
    </row>
  </sheetData>
  <sheetProtection algorithmName="SHA-512" hashValue="bC7OIqzPwDP9E2RGOaQfi8uGBHN1WthlXg7X1jCAP8Dds2CjtmDMblJxZi+yuB+fPcaf7Iro/t/lXx3L+YIp7A==" saltValue="oBd54LNn75iV+UT4HFB6dA==" spinCount="100000"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="160" zoomScaleNormal="160" workbookViewId="0">
      <selection activeCell="H8" sqref="H8"/>
    </sheetView>
  </sheetViews>
  <sheetFormatPr baseColWidth="10" defaultColWidth="11.5546875" defaultRowHeight="13.2" x14ac:dyDescent="0.25"/>
  <cols>
    <col min="1" max="1" width="11.5546875" style="659"/>
    <col min="2" max="3" width="12.5546875" style="659" customWidth="1"/>
    <col min="4" max="4" width="11.5546875" style="659"/>
    <col min="5" max="6" width="13.6640625" style="659" customWidth="1"/>
    <col min="7" max="7" width="12.88671875" style="659" customWidth="1"/>
    <col min="8" max="8" width="11.5546875" style="659"/>
    <col min="9" max="9" width="11.88671875" style="659" customWidth="1"/>
    <col min="10" max="16384" width="11.5546875" style="659"/>
  </cols>
  <sheetData>
    <row r="7" spans="1:20" x14ac:dyDescent="0.25">
      <c r="A7" s="657" t="s">
        <v>177</v>
      </c>
      <c r="B7" s="658"/>
      <c r="C7" s="658"/>
      <c r="D7" s="546"/>
      <c r="E7" s="546"/>
      <c r="F7" s="546"/>
      <c r="G7" s="546"/>
    </row>
    <row r="8" spans="1:20" x14ac:dyDescent="0.25">
      <c r="A8" s="782" t="s">
        <v>306</v>
      </c>
      <c r="B8" s="705">
        <v>-3.2899999999999998E-6</v>
      </c>
      <c r="C8" s="491"/>
      <c r="D8" s="491"/>
      <c r="E8" s="270"/>
      <c r="F8" s="546"/>
      <c r="G8" s="546"/>
      <c r="M8" s="661"/>
      <c r="N8" s="661"/>
      <c r="O8" s="661"/>
      <c r="P8" s="661"/>
      <c r="Q8" s="661"/>
      <c r="R8" s="661"/>
      <c r="S8" s="661"/>
      <c r="T8" s="661"/>
    </row>
    <row r="9" spans="1:20" x14ac:dyDescent="0.25">
      <c r="A9" s="492" t="s">
        <v>178</v>
      </c>
      <c r="B9" s="704">
        <v>4.1599999999999996E-3</v>
      </c>
      <c r="C9" s="705">
        <v>2.4299999999999999E-10</v>
      </c>
      <c r="D9" s="491"/>
      <c r="E9" s="270"/>
      <c r="F9" s="546"/>
      <c r="G9" s="546"/>
    </row>
    <row r="10" spans="1:20" x14ac:dyDescent="0.25">
      <c r="A10" s="492" t="s">
        <v>453</v>
      </c>
      <c r="B10" s="706" t="s">
        <v>454</v>
      </c>
      <c r="C10" s="704"/>
      <c r="D10" s="491"/>
      <c r="E10" s="270"/>
      <c r="F10" s="546"/>
      <c r="G10" s="546"/>
    </row>
    <row r="11" spans="1:20" x14ac:dyDescent="0.25">
      <c r="A11" s="492" t="s">
        <v>183</v>
      </c>
      <c r="B11" s="706">
        <v>0.1</v>
      </c>
      <c r="C11" s="704" t="s">
        <v>402</v>
      </c>
      <c r="D11" s="270"/>
      <c r="E11" s="270"/>
      <c r="F11" s="546"/>
      <c r="G11" s="546"/>
    </row>
    <row r="12" spans="1:20" x14ac:dyDescent="0.25">
      <c r="A12" s="492" t="s">
        <v>455</v>
      </c>
      <c r="B12" s="704" t="s">
        <v>154</v>
      </c>
      <c r="C12" s="491"/>
      <c r="D12" s="270"/>
      <c r="E12" s="270"/>
      <c r="F12" s="546"/>
      <c r="G12" s="546"/>
    </row>
    <row r="13" spans="1:20" x14ac:dyDescent="0.25">
      <c r="A13" s="492" t="s">
        <v>456</v>
      </c>
      <c r="B13" s="270"/>
      <c r="C13" s="783">
        <v>46132</v>
      </c>
      <c r="D13" s="270"/>
      <c r="E13" s="270"/>
      <c r="F13" s="546"/>
      <c r="G13" s="546"/>
    </row>
    <row r="14" spans="1:20" x14ac:dyDescent="0.25">
      <c r="A14" s="495"/>
      <c r="B14" s="660"/>
      <c r="C14" s="546"/>
      <c r="D14" s="546"/>
      <c r="E14" s="546"/>
      <c r="F14" s="546"/>
      <c r="G14" s="546"/>
    </row>
    <row r="15" spans="1:20" ht="18.600000000000001" customHeight="1" x14ac:dyDescent="0.25">
      <c r="A15" s="664" t="s">
        <v>270</v>
      </c>
      <c r="B15" s="663" t="s">
        <v>343</v>
      </c>
      <c r="C15" s="664">
        <v>20</v>
      </c>
      <c r="D15" s="664">
        <v>200</v>
      </c>
      <c r="E15" s="664">
        <v>500</v>
      </c>
      <c r="F15" s="664">
        <v>1000</v>
      </c>
      <c r="G15" s="664">
        <v>5000</v>
      </c>
      <c r="H15" s="664">
        <v>10000</v>
      </c>
    </row>
    <row r="16" spans="1:20" x14ac:dyDescent="0.25">
      <c r="A16" s="665"/>
      <c r="B16" s="666"/>
      <c r="C16" s="667"/>
      <c r="D16" s="702"/>
      <c r="E16" s="702"/>
      <c r="F16" s="702"/>
      <c r="G16" s="702"/>
      <c r="H16" s="702"/>
    </row>
    <row r="17" spans="1:15" x14ac:dyDescent="0.25">
      <c r="A17" s="665"/>
      <c r="B17" s="666"/>
      <c r="C17" s="667"/>
      <c r="D17" s="702"/>
      <c r="E17" s="702"/>
      <c r="F17" s="702"/>
      <c r="G17" s="702"/>
      <c r="H17" s="702"/>
    </row>
    <row r="18" spans="1:15" x14ac:dyDescent="0.25">
      <c r="A18" s="546"/>
      <c r="B18" s="546"/>
      <c r="C18" s="546"/>
      <c r="D18" s="546"/>
      <c r="E18" s="546"/>
      <c r="F18" s="546"/>
      <c r="G18" s="546"/>
    </row>
    <row r="19" spans="1:15" x14ac:dyDescent="0.25">
      <c r="A19" s="663"/>
      <c r="B19" s="662" t="s">
        <v>179</v>
      </c>
      <c r="C19" s="668">
        <v>0</v>
      </c>
      <c r="D19" s="668">
        <v>0</v>
      </c>
      <c r="E19" s="668">
        <v>0</v>
      </c>
      <c r="F19" s="668">
        <v>0</v>
      </c>
      <c r="G19" s="668">
        <v>0</v>
      </c>
      <c r="H19" s="668">
        <v>0</v>
      </c>
    </row>
    <row r="20" spans="1:15" ht="13.8" thickBot="1" x14ac:dyDescent="0.3"/>
    <row r="21" spans="1:15" ht="13.95" customHeight="1" thickBot="1" x14ac:dyDescent="0.3">
      <c r="C21" s="910" t="s">
        <v>164</v>
      </c>
      <c r="D21" s="911"/>
      <c r="E21" s="911"/>
      <c r="F21" s="911"/>
      <c r="G21" s="911"/>
      <c r="H21" s="912"/>
    </row>
    <row r="22" spans="1:15" ht="17.25" customHeight="1" thickBot="1" x14ac:dyDescent="0.3">
      <c r="C22" s="913"/>
      <c r="D22" s="914"/>
      <c r="E22" s="914"/>
      <c r="F22" s="914"/>
      <c r="G22" s="914"/>
      <c r="H22" s="915"/>
      <c r="J22" s="669"/>
      <c r="K22" s="670" t="s">
        <v>165</v>
      </c>
      <c r="L22" s="670"/>
      <c r="M22" s="670"/>
      <c r="N22" s="670"/>
      <c r="O22" s="671"/>
    </row>
    <row r="23" spans="1:15" ht="15.75" customHeight="1" x14ac:dyDescent="0.25">
      <c r="C23" s="672">
        <f t="shared" ref="C23:H23" si="0">+C15</f>
        <v>20</v>
      </c>
      <c r="D23" s="673">
        <f t="shared" si="0"/>
        <v>200</v>
      </c>
      <c r="E23" s="673">
        <f t="shared" si="0"/>
        <v>500</v>
      </c>
      <c r="F23" s="673">
        <f t="shared" si="0"/>
        <v>1000</v>
      </c>
      <c r="G23" s="673">
        <f t="shared" si="0"/>
        <v>5000</v>
      </c>
      <c r="H23" s="674">
        <f t="shared" si="0"/>
        <v>10000</v>
      </c>
      <c r="J23" s="675"/>
      <c r="O23" s="676"/>
    </row>
    <row r="24" spans="1:15" ht="13.8" thickBot="1" x14ac:dyDescent="0.3">
      <c r="C24" s="677">
        <f t="shared" ref="C24:H24" si="1">C19</f>
        <v>0</v>
      </c>
      <c r="D24" s="678">
        <f t="shared" si="1"/>
        <v>0</v>
      </c>
      <c r="E24" s="678">
        <f t="shared" si="1"/>
        <v>0</v>
      </c>
      <c r="F24" s="678">
        <f t="shared" si="1"/>
        <v>0</v>
      </c>
      <c r="G24" s="678">
        <f t="shared" si="1"/>
        <v>0</v>
      </c>
      <c r="H24" s="679">
        <f t="shared" si="1"/>
        <v>0</v>
      </c>
      <c r="J24" s="675"/>
      <c r="K24" s="546" t="s">
        <v>166</v>
      </c>
      <c r="L24" s="546"/>
      <c r="M24" s="547">
        <v>44628</v>
      </c>
      <c r="N24" s="547"/>
      <c r="O24" s="676"/>
    </row>
    <row r="25" spans="1:15" x14ac:dyDescent="0.25">
      <c r="A25" s="494"/>
      <c r="B25" s="495"/>
      <c r="J25" s="675"/>
      <c r="O25" s="676"/>
    </row>
    <row r="26" spans="1:15" x14ac:dyDescent="0.25">
      <c r="A26" s="680"/>
      <c r="B26" s="681" t="s">
        <v>174</v>
      </c>
      <c r="C26" s="558" t="b">
        <f>+datos!E19</f>
        <v>0</v>
      </c>
      <c r="D26" s="668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5"/>
      <c r="O26" s="676"/>
    </row>
    <row r="27" spans="1:15" ht="13.8" thickBot="1" x14ac:dyDescent="0.3">
      <c r="B27" s="682" t="str">
        <f>+datos!C10</f>
        <v>-</v>
      </c>
      <c r="C27" s="683" t="b">
        <f>+datos!E20</f>
        <v>0</v>
      </c>
      <c r="D27" s="684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5"/>
      <c r="K27" s="548" t="s">
        <v>167</v>
      </c>
      <c r="L27" s="549" t="s">
        <v>168</v>
      </c>
      <c r="M27" s="662" t="s">
        <v>169</v>
      </c>
      <c r="N27" s="685"/>
      <c r="O27" s="676"/>
    </row>
    <row r="28" spans="1:15" ht="13.95" customHeight="1" thickTop="1" x14ac:dyDescent="0.25">
      <c r="B28" s="906" t="s">
        <v>317</v>
      </c>
      <c r="C28" s="916" t="s">
        <v>341</v>
      </c>
      <c r="D28" s="916" t="s">
        <v>320</v>
      </c>
      <c r="E28" s="908" t="s">
        <v>319</v>
      </c>
      <c r="G28" s="918"/>
      <c r="H28" s="918"/>
      <c r="J28" s="675"/>
      <c r="K28" s="550" t="s">
        <v>170</v>
      </c>
      <c r="L28" s="551">
        <f>M28/1000</f>
        <v>1.7999999999999999E-2</v>
      </c>
      <c r="M28" s="686">
        <v>18</v>
      </c>
      <c r="N28" s="687" t="s">
        <v>171</v>
      </c>
      <c r="O28" s="676"/>
    </row>
    <row r="29" spans="1:15" x14ac:dyDescent="0.25">
      <c r="A29" s="680"/>
      <c r="B29" s="907"/>
      <c r="C29" s="917"/>
      <c r="D29" s="917"/>
      <c r="E29" s="909"/>
      <c r="G29" s="918"/>
      <c r="H29" s="918"/>
      <c r="J29" s="675"/>
      <c r="K29" s="550" t="s">
        <v>236</v>
      </c>
      <c r="L29" s="551">
        <f t="shared" ref="L29:L34" si="2">M29/1000</f>
        <v>1.7999999999999999E-2</v>
      </c>
      <c r="M29" s="663">
        <v>18</v>
      </c>
      <c r="N29" s="687" t="s">
        <v>171</v>
      </c>
      <c r="O29" s="676"/>
    </row>
    <row r="30" spans="1:15" x14ac:dyDescent="0.25">
      <c r="A30" s="680"/>
      <c r="B30" s="543" t="s">
        <v>170</v>
      </c>
      <c r="C30" s="688">
        <f>+datos!E28</f>
        <v>0</v>
      </c>
      <c r="D30" s="688">
        <f>C30</f>
        <v>0</v>
      </c>
      <c r="E30" s="689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0"/>
      <c r="H30" s="691"/>
      <c r="J30" s="680"/>
      <c r="K30" s="550" t="s">
        <v>172</v>
      </c>
      <c r="L30" s="551">
        <f t="shared" si="2"/>
        <v>1.7999999999999999E-2</v>
      </c>
      <c r="M30" s="663">
        <v>18</v>
      </c>
      <c r="N30" s="687" t="s">
        <v>171</v>
      </c>
      <c r="O30" s="676"/>
    </row>
    <row r="31" spans="1:15" x14ac:dyDescent="0.25">
      <c r="A31" s="680"/>
      <c r="B31" s="543" t="s">
        <v>236</v>
      </c>
      <c r="C31" s="688">
        <f>+datos!E29</f>
        <v>0</v>
      </c>
      <c r="D31" s="688">
        <f t="shared" ref="D31:D38" si="3">D30+C31</f>
        <v>0</v>
      </c>
      <c r="E31" s="689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0"/>
      <c r="H31" s="691"/>
      <c r="J31" s="680"/>
      <c r="K31" s="550" t="s">
        <v>173</v>
      </c>
      <c r="L31" s="551">
        <f t="shared" si="2"/>
        <v>1.7999999999999999E-2</v>
      </c>
      <c r="M31" s="663">
        <v>18</v>
      </c>
      <c r="N31" s="687" t="s">
        <v>171</v>
      </c>
      <c r="O31" s="676"/>
    </row>
    <row r="32" spans="1:15" x14ac:dyDescent="0.25">
      <c r="A32" s="680"/>
      <c r="B32" s="543" t="s">
        <v>172</v>
      </c>
      <c r="C32" s="688">
        <f>+datos!E30</f>
        <v>0</v>
      </c>
      <c r="D32" s="688">
        <f t="shared" si="3"/>
        <v>0</v>
      </c>
      <c r="E32" s="689">
        <f t="shared" si="4"/>
        <v>0</v>
      </c>
      <c r="G32" s="690"/>
      <c r="H32" s="691"/>
      <c r="J32" s="680"/>
      <c r="K32" s="550" t="s">
        <v>175</v>
      </c>
      <c r="L32" s="551">
        <f t="shared" si="2"/>
        <v>1.7999999999999999E-2</v>
      </c>
      <c r="M32" s="663">
        <v>18</v>
      </c>
      <c r="N32" s="687" t="s">
        <v>171</v>
      </c>
      <c r="O32" s="676"/>
    </row>
    <row r="33" spans="1:15" x14ac:dyDescent="0.25">
      <c r="A33" s="680"/>
      <c r="B33" s="543" t="s">
        <v>173</v>
      </c>
      <c r="C33" s="688">
        <f>+datos!E31</f>
        <v>0</v>
      </c>
      <c r="D33" s="688">
        <f t="shared" si="3"/>
        <v>0</v>
      </c>
      <c r="E33" s="689">
        <f t="shared" si="4"/>
        <v>0</v>
      </c>
      <c r="G33" s="690"/>
      <c r="H33" s="691"/>
      <c r="J33" s="680"/>
      <c r="K33" s="550" t="s">
        <v>18</v>
      </c>
      <c r="L33" s="551">
        <f t="shared" si="2"/>
        <v>1.7999999999999999E-2</v>
      </c>
      <c r="M33" s="663">
        <v>18</v>
      </c>
      <c r="N33" s="687" t="s">
        <v>171</v>
      </c>
      <c r="O33" s="676"/>
    </row>
    <row r="34" spans="1:15" x14ac:dyDescent="0.25">
      <c r="A34" s="680"/>
      <c r="B34" s="543" t="s">
        <v>175</v>
      </c>
      <c r="C34" s="688">
        <f>+datos!E32</f>
        <v>0</v>
      </c>
      <c r="D34" s="688">
        <f t="shared" si="3"/>
        <v>0</v>
      </c>
      <c r="E34" s="689">
        <f t="shared" si="4"/>
        <v>0</v>
      </c>
      <c r="G34" s="690"/>
      <c r="H34" s="691"/>
      <c r="J34" s="680"/>
      <c r="K34" s="550" t="s">
        <v>32</v>
      </c>
      <c r="L34" s="551">
        <f t="shared" si="2"/>
        <v>1.7999999999999999E-2</v>
      </c>
      <c r="M34" s="663">
        <v>18</v>
      </c>
      <c r="N34" s="687" t="s">
        <v>171</v>
      </c>
      <c r="O34" s="676"/>
    </row>
    <row r="35" spans="1:15" x14ac:dyDescent="0.25">
      <c r="A35" s="680"/>
      <c r="B35" s="543" t="s">
        <v>18</v>
      </c>
      <c r="C35" s="688">
        <f>+datos!E33</f>
        <v>0</v>
      </c>
      <c r="D35" s="688">
        <f t="shared" si="3"/>
        <v>0</v>
      </c>
      <c r="E35" s="689">
        <f t="shared" si="4"/>
        <v>0</v>
      </c>
      <c r="G35" s="690"/>
      <c r="H35" s="691"/>
      <c r="J35" s="680"/>
      <c r="K35" s="550" t="s">
        <v>19</v>
      </c>
      <c r="L35" s="551">
        <f t="shared" ref="L35:L44" si="5">M35/1000</f>
        <v>1.7999999999999999E-2</v>
      </c>
      <c r="M35" s="663">
        <v>18</v>
      </c>
      <c r="N35" s="687" t="s">
        <v>171</v>
      </c>
      <c r="O35" s="676"/>
    </row>
    <row r="36" spans="1:15" x14ac:dyDescent="0.25">
      <c r="A36" s="680"/>
      <c r="B36" s="543" t="s">
        <v>32</v>
      </c>
      <c r="C36" s="688">
        <f>+datos!E34</f>
        <v>0</v>
      </c>
      <c r="D36" s="688">
        <f t="shared" si="3"/>
        <v>0</v>
      </c>
      <c r="E36" s="689">
        <f t="shared" si="4"/>
        <v>0</v>
      </c>
      <c r="G36" s="690"/>
      <c r="H36" s="691"/>
      <c r="J36" s="680"/>
      <c r="K36" s="550" t="s">
        <v>155</v>
      </c>
      <c r="L36" s="551">
        <f t="shared" si="5"/>
        <v>1.7999999999999999E-2</v>
      </c>
      <c r="M36" s="663">
        <v>18</v>
      </c>
      <c r="N36" s="687" t="s">
        <v>171</v>
      </c>
      <c r="O36" s="676"/>
    </row>
    <row r="37" spans="1:15" x14ac:dyDescent="0.25">
      <c r="A37" s="680"/>
      <c r="B37" s="543" t="s">
        <v>19</v>
      </c>
      <c r="C37" s="688">
        <f>+datos!E35</f>
        <v>0</v>
      </c>
      <c r="D37" s="688">
        <f t="shared" si="3"/>
        <v>0</v>
      </c>
      <c r="E37" s="689">
        <f t="shared" si="4"/>
        <v>0</v>
      </c>
      <c r="G37" s="690"/>
      <c r="H37" s="691"/>
      <c r="J37" s="680"/>
      <c r="K37" s="550" t="s">
        <v>156</v>
      </c>
      <c r="L37" s="551">
        <f t="shared" si="5"/>
        <v>6.4999999999999997E-3</v>
      </c>
      <c r="M37" s="663">
        <v>6.5</v>
      </c>
      <c r="N37" s="687" t="s">
        <v>171</v>
      </c>
      <c r="O37" s="676"/>
    </row>
    <row r="38" spans="1:15" ht="13.8" thickBot="1" x14ac:dyDescent="0.3">
      <c r="A38" s="680"/>
      <c r="B38" s="544" t="s">
        <v>155</v>
      </c>
      <c r="C38" s="692">
        <f>+datos!E36</f>
        <v>0</v>
      </c>
      <c r="D38" s="692">
        <f t="shared" si="3"/>
        <v>0</v>
      </c>
      <c r="E38" s="693">
        <f t="shared" si="4"/>
        <v>0</v>
      </c>
      <c r="G38" s="690"/>
      <c r="H38" s="691"/>
      <c r="J38" s="680"/>
      <c r="K38" s="550" t="s">
        <v>160</v>
      </c>
      <c r="L38" s="551">
        <f t="shared" si="5"/>
        <v>1.0999999999999999E-2</v>
      </c>
      <c r="M38" s="663">
        <v>11</v>
      </c>
      <c r="N38" s="687" t="s">
        <v>171</v>
      </c>
      <c r="O38" s="676"/>
    </row>
    <row r="39" spans="1:15" ht="13.8" thickTop="1" x14ac:dyDescent="0.25">
      <c r="A39" s="680"/>
      <c r="B39" s="545" t="s">
        <v>156</v>
      </c>
      <c r="C39" s="694">
        <f>+datos!E37</f>
        <v>0</v>
      </c>
      <c r="D39" s="694">
        <f>IF(B27="Fraccionada",C39,D38+C39)</f>
        <v>0</v>
      </c>
      <c r="E39" s="695">
        <f t="shared" si="4"/>
        <v>0</v>
      </c>
      <c r="G39" s="690"/>
      <c r="H39" s="691"/>
      <c r="J39" s="680"/>
      <c r="K39" s="550" t="s">
        <v>157</v>
      </c>
      <c r="L39" s="551">
        <f t="shared" si="5"/>
        <v>5.4000000000000003E-3</v>
      </c>
      <c r="M39" s="663">
        <v>5.4</v>
      </c>
      <c r="N39" s="687" t="s">
        <v>171</v>
      </c>
      <c r="O39" s="676"/>
    </row>
    <row r="40" spans="1:15" x14ac:dyDescent="0.25">
      <c r="A40" s="680"/>
      <c r="B40" s="543" t="s">
        <v>160</v>
      </c>
      <c r="C40" s="688">
        <f>+datos!E38</f>
        <v>0</v>
      </c>
      <c r="D40" s="688">
        <f t="shared" ref="D40:D46" si="6">D39+C40</f>
        <v>0</v>
      </c>
      <c r="E40" s="689">
        <f t="shared" si="4"/>
        <v>0</v>
      </c>
      <c r="G40" s="690"/>
      <c r="H40" s="691"/>
      <c r="J40" s="680"/>
      <c r="K40" s="550" t="s">
        <v>237</v>
      </c>
      <c r="L40" s="551">
        <f t="shared" si="5"/>
        <v>3.5000000000000001E-3</v>
      </c>
      <c r="M40" s="663">
        <v>3.5</v>
      </c>
      <c r="N40" s="687" t="s">
        <v>171</v>
      </c>
      <c r="O40" s="676"/>
    </row>
    <row r="41" spans="1:15" x14ac:dyDescent="0.25">
      <c r="A41" s="680"/>
      <c r="B41" s="543" t="s">
        <v>157</v>
      </c>
      <c r="C41" s="688">
        <f>+datos!E39</f>
        <v>0</v>
      </c>
      <c r="D41" s="688">
        <f t="shared" si="6"/>
        <v>0</v>
      </c>
      <c r="E41" s="689">
        <f t="shared" si="4"/>
        <v>0</v>
      </c>
      <c r="G41" s="690"/>
      <c r="H41" s="691"/>
      <c r="J41" s="680"/>
      <c r="K41" s="550" t="s">
        <v>162</v>
      </c>
      <c r="L41" s="551">
        <f t="shared" si="5"/>
        <v>2.7000000000000001E-3</v>
      </c>
      <c r="M41" s="663">
        <v>2.7</v>
      </c>
      <c r="N41" s="687" t="s">
        <v>171</v>
      </c>
      <c r="O41" s="676"/>
    </row>
    <row r="42" spans="1:15" x14ac:dyDescent="0.25">
      <c r="A42" s="680"/>
      <c r="B42" s="543" t="s">
        <v>161</v>
      </c>
      <c r="C42" s="688">
        <f>+datos!E40</f>
        <v>0</v>
      </c>
      <c r="D42" s="688">
        <f t="shared" si="6"/>
        <v>0</v>
      </c>
      <c r="E42" s="689">
        <f t="shared" si="4"/>
        <v>0</v>
      </c>
      <c r="G42" s="690"/>
      <c r="H42" s="691"/>
      <c r="J42" s="680"/>
      <c r="K42" s="550" t="s">
        <v>158</v>
      </c>
      <c r="L42" s="551">
        <f t="shared" si="5"/>
        <v>2.5000000000000001E-3</v>
      </c>
      <c r="M42" s="663">
        <v>2.5</v>
      </c>
      <c r="N42" s="687" t="s">
        <v>171</v>
      </c>
      <c r="O42" s="676"/>
    </row>
    <row r="43" spans="1:15" x14ac:dyDescent="0.25">
      <c r="A43" s="680"/>
      <c r="B43" s="543" t="s">
        <v>162</v>
      </c>
      <c r="C43" s="688">
        <f>+datos!E41</f>
        <v>0</v>
      </c>
      <c r="D43" s="688">
        <f t="shared" si="6"/>
        <v>0</v>
      </c>
      <c r="E43" s="689">
        <f t="shared" si="4"/>
        <v>0</v>
      </c>
      <c r="G43" s="690"/>
      <c r="H43" s="691"/>
      <c r="J43" s="680"/>
      <c r="K43" s="550" t="s">
        <v>159</v>
      </c>
      <c r="L43" s="551">
        <f t="shared" si="5"/>
        <v>1.2999999999999999E-3</v>
      </c>
      <c r="M43" s="663">
        <v>1.3</v>
      </c>
      <c r="N43" s="687" t="s">
        <v>171</v>
      </c>
      <c r="O43" s="676"/>
    </row>
    <row r="44" spans="1:15" x14ac:dyDescent="0.25">
      <c r="A44" s="680"/>
      <c r="B44" s="543" t="s">
        <v>158</v>
      </c>
      <c r="C44" s="688">
        <f>+datos!E42</f>
        <v>0</v>
      </c>
      <c r="D44" s="688">
        <f t="shared" si="6"/>
        <v>0</v>
      </c>
      <c r="E44" s="689">
        <f t="shared" si="4"/>
        <v>0</v>
      </c>
      <c r="G44" s="690"/>
      <c r="H44" s="691"/>
      <c r="J44" s="680"/>
      <c r="K44" s="550" t="s">
        <v>163</v>
      </c>
      <c r="L44" s="551">
        <f t="shared" si="5"/>
        <v>1.2999999999999999E-3</v>
      </c>
      <c r="M44" s="663">
        <v>1.3</v>
      </c>
      <c r="N44" s="696"/>
      <c r="O44" s="676"/>
    </row>
    <row r="45" spans="1:15" x14ac:dyDescent="0.25">
      <c r="A45" s="680"/>
      <c r="B45" s="543" t="s">
        <v>159</v>
      </c>
      <c r="C45" s="688">
        <f>+datos!E43</f>
        <v>0</v>
      </c>
      <c r="D45" s="688">
        <f>D44+C45</f>
        <v>0</v>
      </c>
      <c r="E45" s="689">
        <f t="shared" si="4"/>
        <v>0</v>
      </c>
      <c r="G45" s="690"/>
      <c r="H45" s="691"/>
      <c r="J45" s="680"/>
      <c r="O45" s="676"/>
    </row>
    <row r="46" spans="1:15" ht="13.8" thickBot="1" x14ac:dyDescent="0.3">
      <c r="A46" s="680"/>
      <c r="B46" s="544" t="s">
        <v>163</v>
      </c>
      <c r="C46" s="692">
        <f>+datos!E44</f>
        <v>0</v>
      </c>
      <c r="D46" s="692">
        <f t="shared" si="6"/>
        <v>0</v>
      </c>
      <c r="E46" s="689">
        <f t="shared" si="4"/>
        <v>0</v>
      </c>
      <c r="G46" s="690"/>
      <c r="H46" s="691"/>
      <c r="J46" s="552"/>
      <c r="K46" s="553"/>
      <c r="L46" s="553"/>
      <c r="M46" s="553"/>
      <c r="N46" s="553"/>
      <c r="O46" s="697"/>
    </row>
    <row r="47" spans="1:15" ht="13.8" thickTop="1" x14ac:dyDescent="0.25">
      <c r="H47" s="493"/>
    </row>
    <row r="48" spans="1:15" x14ac:dyDescent="0.25">
      <c r="H48" s="493"/>
    </row>
    <row r="49" spans="1:8" x14ac:dyDescent="0.25">
      <c r="B49" s="800" t="s">
        <v>176</v>
      </c>
      <c r="C49" s="801"/>
      <c r="H49" s="554"/>
    </row>
    <row r="50" spans="1:8" x14ac:dyDescent="0.25">
      <c r="B50" s="798" t="s">
        <v>473</v>
      </c>
      <c r="D50" s="799">
        <v>46142</v>
      </c>
    </row>
    <row r="52" spans="1:8" ht="53.4" customHeight="1" x14ac:dyDescent="0.25">
      <c r="A52" s="555" t="s">
        <v>167</v>
      </c>
      <c r="B52" s="797" t="s">
        <v>347</v>
      </c>
      <c r="C52" s="566" t="s">
        <v>271</v>
      </c>
      <c r="D52" s="578"/>
      <c r="E52" s="556"/>
    </row>
    <row r="53" spans="1:8" x14ac:dyDescent="0.25">
      <c r="A53" s="557" t="s">
        <v>170</v>
      </c>
      <c r="B53" s="698">
        <v>0</v>
      </c>
      <c r="C53" s="698">
        <v>0</v>
      </c>
      <c r="D53" s="699"/>
      <c r="E53" s="699"/>
    </row>
    <row r="54" spans="1:8" x14ac:dyDescent="0.25">
      <c r="A54" s="557" t="s">
        <v>236</v>
      </c>
      <c r="B54" s="698">
        <v>0</v>
      </c>
      <c r="C54" s="698">
        <v>0</v>
      </c>
      <c r="D54" s="699"/>
      <c r="E54" s="699"/>
    </row>
    <row r="55" spans="1:8" x14ac:dyDescent="0.25">
      <c r="A55" s="557" t="s">
        <v>172</v>
      </c>
      <c r="B55" s="698">
        <v>0</v>
      </c>
      <c r="C55" s="698">
        <v>0</v>
      </c>
      <c r="D55" s="699"/>
      <c r="E55" s="699"/>
    </row>
    <row r="56" spans="1:8" x14ac:dyDescent="0.25">
      <c r="A56" s="557" t="s">
        <v>173</v>
      </c>
      <c r="B56" s="698">
        <v>0</v>
      </c>
      <c r="C56" s="698">
        <v>0</v>
      </c>
      <c r="D56" s="699"/>
      <c r="E56" s="699"/>
    </row>
    <row r="57" spans="1:8" x14ac:dyDescent="0.25">
      <c r="A57" s="557" t="s">
        <v>175</v>
      </c>
      <c r="B57" s="698">
        <v>0</v>
      </c>
      <c r="C57" s="698">
        <v>0</v>
      </c>
      <c r="D57" s="699"/>
      <c r="E57" s="699"/>
    </row>
    <row r="58" spans="1:8" x14ac:dyDescent="0.25">
      <c r="A58" s="557" t="s">
        <v>18</v>
      </c>
      <c r="B58" s="698">
        <v>0</v>
      </c>
      <c r="C58" s="698">
        <v>0</v>
      </c>
      <c r="D58" s="699"/>
      <c r="E58" s="699"/>
    </row>
    <row r="59" spans="1:8" x14ac:dyDescent="0.25">
      <c r="A59" s="557" t="s">
        <v>32</v>
      </c>
      <c r="B59" s="698">
        <v>0</v>
      </c>
      <c r="C59" s="698">
        <v>0</v>
      </c>
      <c r="D59" s="699"/>
      <c r="E59" s="699"/>
    </row>
    <row r="60" spans="1:8" x14ac:dyDescent="0.25">
      <c r="A60" s="557" t="s">
        <v>19</v>
      </c>
      <c r="B60" s="698">
        <v>0</v>
      </c>
      <c r="C60" s="698">
        <v>0</v>
      </c>
      <c r="D60" s="699"/>
      <c r="E60" s="699"/>
    </row>
    <row r="61" spans="1:8" x14ac:dyDescent="0.25">
      <c r="A61" s="557" t="s">
        <v>155</v>
      </c>
      <c r="B61" s="698">
        <v>7.8102205558218438E-2</v>
      </c>
      <c r="C61" s="698">
        <v>8.2494332399335443E-2</v>
      </c>
      <c r="D61" s="699"/>
      <c r="E61" s="699"/>
    </row>
    <row r="62" spans="1:8" x14ac:dyDescent="0.25">
      <c r="A62" s="557" t="s">
        <v>156</v>
      </c>
      <c r="B62" s="698">
        <v>0.24270886010920917</v>
      </c>
      <c r="C62" s="698">
        <v>0.24465262833019497</v>
      </c>
      <c r="D62" s="699"/>
      <c r="E62" s="699"/>
    </row>
    <row r="63" spans="1:8" x14ac:dyDescent="0.25">
      <c r="A63" s="557" t="s">
        <v>160</v>
      </c>
      <c r="B63" s="698">
        <v>0.32081881115367472</v>
      </c>
      <c r="C63" s="698">
        <v>0.34618670168438298</v>
      </c>
      <c r="D63" s="699"/>
      <c r="E63" s="699"/>
    </row>
    <row r="64" spans="1:8" x14ac:dyDescent="0.25">
      <c r="A64" s="557" t="s">
        <v>157</v>
      </c>
      <c r="B64" s="698">
        <v>0.53458571667600707</v>
      </c>
      <c r="C64" s="698">
        <v>0.57717227286380801</v>
      </c>
      <c r="D64" s="699"/>
      <c r="E64" s="699"/>
    </row>
    <row r="65" spans="1:5" x14ac:dyDescent="0.25">
      <c r="A65" s="557" t="s">
        <v>237</v>
      </c>
      <c r="B65" s="698">
        <v>0.48239791708632423</v>
      </c>
      <c r="C65" s="698">
        <v>0.64464161334682302</v>
      </c>
      <c r="D65" s="699"/>
      <c r="E65" s="699"/>
    </row>
    <row r="66" spans="1:5" x14ac:dyDescent="0.25">
      <c r="A66" s="557" t="s">
        <v>162</v>
      </c>
      <c r="B66" s="698">
        <v>0.34208544824232401</v>
      </c>
      <c r="C66" s="698">
        <v>0.36037631614706434</v>
      </c>
      <c r="D66" s="699"/>
      <c r="E66" s="699"/>
    </row>
    <row r="67" spans="1:5" x14ac:dyDescent="0.25">
      <c r="A67" s="557" t="s">
        <v>158</v>
      </c>
      <c r="B67" s="698">
        <v>0.45392671715941679</v>
      </c>
      <c r="C67" s="698">
        <v>0.51407100842544873</v>
      </c>
      <c r="D67" s="699"/>
      <c r="E67" s="699"/>
    </row>
    <row r="68" spans="1:5" x14ac:dyDescent="0.25">
      <c r="A68" s="557" t="s">
        <v>159</v>
      </c>
      <c r="B68" s="698">
        <v>0.24282402392218505</v>
      </c>
      <c r="C68" s="698">
        <v>0.25127048276239239</v>
      </c>
      <c r="D68" s="699"/>
      <c r="E68" s="699"/>
    </row>
    <row r="69" spans="1:5" x14ac:dyDescent="0.25">
      <c r="A69" s="557" t="s">
        <v>163</v>
      </c>
      <c r="B69" s="698">
        <v>0.31355805092132405</v>
      </c>
      <c r="C69" s="698">
        <v>0.32233975414555627</v>
      </c>
      <c r="D69" s="699"/>
      <c r="E69" s="699"/>
    </row>
  </sheetData>
  <sheetProtection algorithmName="SHA-512" hashValue="v8HcRHeMe336PymyxK0HQbjdnavpBQNhAw0OesYBR/orw/5sTkn/biyS02pjlqm2xZj6/AT6jSiGZpnxACuK3Q==" saltValue="8VAfBRaTo8/OhfgdVO3wyQ==" spinCount="100000"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32" t="s">
        <v>2</v>
      </c>
      <c r="B5" s="932"/>
      <c r="C5" s="932"/>
      <c r="D5" s="932"/>
      <c r="E5" s="932"/>
      <c r="F5" s="932"/>
      <c r="G5" s="932"/>
      <c r="H5" s="932"/>
      <c r="I5" s="932"/>
      <c r="J5" s="932"/>
      <c r="K5" s="932"/>
    </row>
    <row r="6" spans="1:31" ht="15.9" customHeight="1" x14ac:dyDescent="0.25">
      <c r="A6" s="939">
        <f>+K12</f>
        <v>32</v>
      </c>
      <c r="B6" s="939"/>
      <c r="C6" s="939"/>
      <c r="D6" s="939"/>
      <c r="E6" s="939"/>
      <c r="F6" s="939"/>
      <c r="G6" s="939"/>
      <c r="H6" s="939"/>
      <c r="I6" s="939"/>
      <c r="J6" s="939"/>
      <c r="K6" s="939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43">
        <v>44090</v>
      </c>
      <c r="U9" s="943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40" t="s">
        <v>128</v>
      </c>
      <c r="B14" s="941"/>
      <c r="C14" s="941"/>
      <c r="D14" s="941"/>
      <c r="E14" s="941"/>
      <c r="F14" s="941"/>
      <c r="G14" s="941"/>
      <c r="H14" s="941"/>
      <c r="I14" s="941"/>
      <c r="J14" s="941"/>
      <c r="K14" s="942"/>
      <c r="L14" s="87"/>
      <c r="M14" s="87"/>
      <c r="P14" s="86"/>
      <c r="Q14" s="86"/>
      <c r="R14" s="86"/>
      <c r="S14" s="86"/>
    </row>
    <row r="15" spans="1:31" ht="15.9" customHeight="1" x14ac:dyDescent="0.25">
      <c r="A15" s="947" t="s">
        <v>131</v>
      </c>
      <c r="B15" s="948"/>
      <c r="C15" s="948"/>
      <c r="D15" s="948"/>
      <c r="E15" s="948"/>
      <c r="F15" s="948"/>
      <c r="G15" s="948"/>
      <c r="H15" s="948"/>
      <c r="I15" s="948"/>
      <c r="J15" s="948"/>
      <c r="K15" s="949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37" t="s">
        <v>5</v>
      </c>
      <c r="B17" s="938"/>
      <c r="C17" s="938"/>
      <c r="D17" s="938"/>
      <c r="E17" s="938"/>
      <c r="F17" s="938"/>
      <c r="G17" s="938"/>
      <c r="H17" s="938"/>
      <c r="I17" s="938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20" t="s">
        <v>9</v>
      </c>
      <c r="V19" s="921"/>
      <c r="W19" s="931" t="s">
        <v>100</v>
      </c>
      <c r="X19" s="843" t="s">
        <v>45</v>
      </c>
      <c r="Y19" s="843" t="s">
        <v>41</v>
      </c>
      <c r="Z19" s="843" t="s">
        <v>42</v>
      </c>
      <c r="AA19" s="843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31"/>
      <c r="X20" s="844"/>
      <c r="Y20" s="844"/>
      <c r="Z20" s="844"/>
      <c r="AA20" s="844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20" t="s">
        <v>9</v>
      </c>
      <c r="C23" s="921"/>
      <c r="D23" s="843" t="s">
        <v>45</v>
      </c>
      <c r="E23" s="843" t="s">
        <v>41</v>
      </c>
      <c r="F23" s="843" t="s">
        <v>42</v>
      </c>
      <c r="G23" s="843" t="s">
        <v>43</v>
      </c>
      <c r="H23" s="138"/>
      <c r="I23" s="925" t="s">
        <v>36</v>
      </c>
      <c r="J23" s="926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44"/>
      <c r="E24" s="844"/>
      <c r="F24" s="844"/>
      <c r="G24" s="844"/>
      <c r="H24" s="156"/>
      <c r="I24" s="928">
        <f>+Q23</f>
        <v>23983.979695431473</v>
      </c>
      <c r="J24" s="929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27" t="s">
        <v>92</v>
      </c>
      <c r="J26" s="927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36"/>
      <c r="J30" s="936"/>
      <c r="K30" s="143"/>
      <c r="L30" s="91"/>
      <c r="M30" s="944" t="s">
        <v>74</v>
      </c>
      <c r="N30" s="945"/>
      <c r="O30" s="945"/>
      <c r="P30" s="946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36"/>
      <c r="J31" s="936"/>
      <c r="K31" s="143"/>
      <c r="L31" s="91"/>
      <c r="M31" s="933" t="s">
        <v>82</v>
      </c>
      <c r="N31" s="934"/>
      <c r="O31" s="934"/>
      <c r="P31" s="935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22" t="s">
        <v>89</v>
      </c>
      <c r="AA34" s="923"/>
      <c r="AB34" s="923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24"/>
      <c r="E57" s="924"/>
      <c r="F57" s="924"/>
      <c r="G57" s="924"/>
      <c r="H57" s="924"/>
      <c r="I57" s="924"/>
      <c r="J57" s="924"/>
      <c r="K57" s="924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30" t="s">
        <v>122</v>
      </c>
      <c r="B60" s="930"/>
      <c r="C60" s="930"/>
      <c r="D60" s="930"/>
      <c r="E60" s="930"/>
      <c r="F60" s="930"/>
      <c r="G60" s="930"/>
      <c r="H60" s="930"/>
      <c r="I60" s="930"/>
      <c r="J60" s="930"/>
      <c r="K60" s="930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19" t="s">
        <v>123</v>
      </c>
      <c r="I61" s="919"/>
      <c r="J61" s="919"/>
      <c r="K61" s="919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32" t="s">
        <v>2</v>
      </c>
      <c r="B7" s="932"/>
      <c r="C7" s="932"/>
      <c r="D7" s="932"/>
      <c r="E7" s="932"/>
      <c r="F7" s="932"/>
      <c r="G7" s="932"/>
      <c r="H7" s="932"/>
      <c r="I7" s="932"/>
      <c r="J7" s="932"/>
      <c r="K7" s="932"/>
      <c r="X7" s="178"/>
    </row>
    <row r="8" spans="1:24" ht="15.75" customHeight="1" x14ac:dyDescent="0.25">
      <c r="A8" s="959">
        <v>1</v>
      </c>
      <c r="B8" s="959"/>
      <c r="C8" s="959"/>
      <c r="D8" s="959"/>
      <c r="E8" s="959"/>
      <c r="F8" s="959"/>
      <c r="G8" s="959"/>
      <c r="H8" s="959"/>
      <c r="I8" s="959"/>
      <c r="J8" s="959"/>
      <c r="K8" s="959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20" t="s">
        <v>9</v>
      </c>
      <c r="N13" s="921"/>
      <c r="O13" s="952" t="s">
        <v>69</v>
      </c>
      <c r="P13" s="953"/>
      <c r="Q13" s="954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55"/>
      <c r="P14" s="956"/>
      <c r="Q14" s="957"/>
      <c r="W14" s="178"/>
      <c r="X14" s="178"/>
    </row>
    <row r="15" spans="1:24" ht="15.6" x14ac:dyDescent="0.25">
      <c r="A15" s="940" t="s">
        <v>128</v>
      </c>
      <c r="B15" s="941"/>
      <c r="C15" s="941"/>
      <c r="D15" s="941"/>
      <c r="E15" s="941"/>
      <c r="F15" s="941"/>
      <c r="G15" s="941"/>
      <c r="H15" s="941"/>
      <c r="I15" s="941"/>
      <c r="J15" s="941"/>
      <c r="K15" s="942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47" t="s">
        <v>131</v>
      </c>
      <c r="B16" s="948"/>
      <c r="C16" s="948"/>
      <c r="D16" s="948"/>
      <c r="E16" s="948"/>
      <c r="F16" s="948"/>
      <c r="G16" s="948"/>
      <c r="H16" s="948"/>
      <c r="I16" s="948"/>
      <c r="J16" s="948"/>
      <c r="K16" s="949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37" t="s">
        <v>5</v>
      </c>
      <c r="B18" s="938"/>
      <c r="C18" s="938"/>
      <c r="D18" s="938"/>
      <c r="E18" s="938"/>
      <c r="F18" s="938"/>
      <c r="G18" s="938"/>
      <c r="H18" s="938"/>
      <c r="I18" s="938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20" t="s">
        <v>71</v>
      </c>
      <c r="N24" s="921"/>
      <c r="O24" s="294"/>
      <c r="P24" s="950">
        <v>762</v>
      </c>
      <c r="Q24" s="951"/>
      <c r="R24" s="202"/>
      <c r="S24" s="202"/>
      <c r="V24" s="201"/>
      <c r="W24" s="208"/>
      <c r="X24" s="178"/>
    </row>
    <row r="25" spans="1:24" ht="15.75" customHeight="1" x14ac:dyDescent="0.25">
      <c r="A25" s="20"/>
      <c r="B25" s="920" t="s">
        <v>9</v>
      </c>
      <c r="C25" s="921"/>
      <c r="D25" s="843" t="s">
        <v>45</v>
      </c>
      <c r="E25" s="843" t="s">
        <v>41</v>
      </c>
      <c r="F25" s="843" t="s">
        <v>42</v>
      </c>
      <c r="G25" s="843" t="s">
        <v>43</v>
      </c>
      <c r="H25" s="209"/>
      <c r="I25" s="925" t="s">
        <v>36</v>
      </c>
      <c r="J25" s="926"/>
      <c r="K25" s="144"/>
      <c r="M25" s="210" t="s">
        <v>9</v>
      </c>
      <c r="N25" s="211"/>
      <c r="O25" s="931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44"/>
      <c r="E26" s="844"/>
      <c r="F26" s="844"/>
      <c r="G26" s="844"/>
      <c r="H26" s="209"/>
      <c r="I26" s="928">
        <f>+P24</f>
        <v>762</v>
      </c>
      <c r="J26" s="929"/>
      <c r="K26" s="144"/>
      <c r="M26" s="213" t="s">
        <v>11</v>
      </c>
      <c r="N26" s="187" t="s">
        <v>12</v>
      </c>
      <c r="O26" s="931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61" t="s">
        <v>37</v>
      </c>
      <c r="J28" s="962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63" t="e">
        <f>(R30+R32+R34+R36+R37+R39+R40+R42+R43)/100</f>
        <v>#REF!</v>
      </c>
      <c r="J29" s="964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36"/>
      <c r="J31" s="936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36"/>
      <c r="J32" s="936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58"/>
      <c r="J33" s="958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43">
        <v>44090</v>
      </c>
      <c r="Y54" s="943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60" t="s">
        <v>120</v>
      </c>
      <c r="B58" s="960"/>
      <c r="C58" s="960"/>
      <c r="D58" s="960"/>
      <c r="E58" s="960"/>
      <c r="F58" s="960"/>
      <c r="G58" s="960"/>
      <c r="H58" s="960"/>
      <c r="I58" s="960"/>
      <c r="J58" s="960"/>
      <c r="K58" s="960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60" t="s">
        <v>122</v>
      </c>
      <c r="B60" s="960"/>
      <c r="C60" s="960"/>
      <c r="D60" s="960"/>
      <c r="E60" s="960"/>
      <c r="F60" s="960"/>
      <c r="G60" s="960"/>
      <c r="H60" s="960"/>
      <c r="I60" s="960"/>
      <c r="J60" s="960"/>
      <c r="K60" s="960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  <mergeCell ref="A7:K7"/>
    <mergeCell ref="I32:J32"/>
    <mergeCell ref="I33:J33"/>
    <mergeCell ref="A16:K16"/>
    <mergeCell ref="A8:K8"/>
    <mergeCell ref="A18:I18"/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32" t="s">
        <v>2</v>
      </c>
      <c r="B5" s="932"/>
      <c r="C5" s="932"/>
      <c r="D5" s="932"/>
      <c r="E5" s="932"/>
      <c r="F5" s="932"/>
      <c r="G5" s="932"/>
      <c r="H5" s="932"/>
      <c r="I5" s="932"/>
      <c r="J5" s="932"/>
      <c r="K5" s="932"/>
    </row>
    <row r="6" spans="1:27" ht="15.75" customHeight="1" x14ac:dyDescent="0.25">
      <c r="A6" s="939">
        <f>+K12</f>
        <v>44</v>
      </c>
      <c r="B6" s="939"/>
      <c r="C6" s="939"/>
      <c r="D6" s="939"/>
      <c r="E6" s="939"/>
      <c r="F6" s="939"/>
      <c r="G6" s="939"/>
      <c r="H6" s="939"/>
      <c r="I6" s="939"/>
      <c r="J6" s="939"/>
      <c r="K6" s="939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43">
        <v>44090</v>
      </c>
      <c r="S9" s="943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40" t="s">
        <v>128</v>
      </c>
      <c r="B14" s="941"/>
      <c r="C14" s="941"/>
      <c r="D14" s="941"/>
      <c r="E14" s="941"/>
      <c r="F14" s="941"/>
      <c r="G14" s="941"/>
      <c r="H14" s="941"/>
      <c r="I14" s="941"/>
      <c r="J14" s="941"/>
      <c r="K14" s="942"/>
      <c r="S14" s="5"/>
      <c r="T14" s="5"/>
      <c r="U14" s="70"/>
    </row>
    <row r="15" spans="1:27" ht="15.75" customHeight="1" x14ac:dyDescent="0.25">
      <c r="A15" s="947" t="s">
        <v>131</v>
      </c>
      <c r="B15" s="948"/>
      <c r="C15" s="948"/>
      <c r="D15" s="948"/>
      <c r="E15" s="948"/>
      <c r="F15" s="948"/>
      <c r="G15" s="948"/>
      <c r="H15" s="948"/>
      <c r="I15" s="948"/>
      <c r="J15" s="948"/>
      <c r="K15" s="949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37" t="s">
        <v>5</v>
      </c>
      <c r="B17" s="938"/>
      <c r="C17" s="938"/>
      <c r="D17" s="938"/>
      <c r="E17" s="938"/>
      <c r="F17" s="938"/>
      <c r="G17" s="938"/>
      <c r="H17" s="938"/>
      <c r="I17" s="938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5" t="s">
        <v>71</v>
      </c>
      <c r="N22" s="966"/>
      <c r="O22" s="280"/>
      <c r="P22" s="967">
        <f>SUM(O25:O42)</f>
        <v>9543.9950657520003</v>
      </c>
      <c r="Q22" s="951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73" t="s">
        <v>9</v>
      </c>
      <c r="C23" s="973"/>
      <c r="D23" s="970" t="s">
        <v>45</v>
      </c>
      <c r="E23" s="970" t="s">
        <v>41</v>
      </c>
      <c r="F23" s="970" t="s">
        <v>42</v>
      </c>
      <c r="G23" s="970" t="s">
        <v>43</v>
      </c>
      <c r="H23" s="18"/>
      <c r="I23" s="925" t="s">
        <v>36</v>
      </c>
      <c r="J23" s="926"/>
      <c r="K23" s="144"/>
      <c r="M23" s="67" t="s">
        <v>9</v>
      </c>
      <c r="N23" s="68"/>
      <c r="O23" s="931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70"/>
      <c r="E24" s="970"/>
      <c r="F24" s="970"/>
      <c r="G24" s="970"/>
      <c r="H24" s="245"/>
      <c r="I24" s="928">
        <f>+P22</f>
        <v>9543.9950657520003</v>
      </c>
      <c r="J24" s="929"/>
      <c r="K24" s="144"/>
      <c r="M24" s="65" t="s">
        <v>11</v>
      </c>
      <c r="N24" s="10" t="s">
        <v>12</v>
      </c>
      <c r="O24" s="931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61" t="s">
        <v>37</v>
      </c>
      <c r="J26" s="962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1">
        <f>(R28+R30+R32+R34+R35+R37+R38+R40+R41)/100</f>
        <v>6.8505867560771163</v>
      </c>
      <c r="J27" s="972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61" t="s">
        <v>65</v>
      </c>
      <c r="J29" s="962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68">
        <f>+Z38</f>
        <v>0.5</v>
      </c>
      <c r="J30" s="969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36"/>
      <c r="J32" s="936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36"/>
      <c r="J33" s="936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58"/>
      <c r="J34" s="958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30" t="s">
        <v>122</v>
      </c>
      <c r="B55" s="930"/>
      <c r="C55" s="930"/>
      <c r="D55" s="930"/>
      <c r="E55" s="930"/>
      <c r="F55" s="930"/>
      <c r="G55" s="930"/>
      <c r="H55" s="930"/>
      <c r="I55" s="930"/>
      <c r="J55" s="930"/>
      <c r="K55" s="930"/>
    </row>
    <row r="56" spans="1:21" x14ac:dyDescent="0.25">
      <c r="H56" s="919" t="s">
        <v>123</v>
      </c>
      <c r="I56" s="919"/>
      <c r="J56" s="919"/>
      <c r="K56" s="919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B23:C23"/>
    <mergeCell ref="D23:D24"/>
    <mergeCell ref="E23:E24"/>
    <mergeCell ref="A5:K5"/>
    <mergeCell ref="A6:K6"/>
    <mergeCell ref="A14:K14"/>
    <mergeCell ref="A15:K15"/>
    <mergeCell ref="I23:J23"/>
    <mergeCell ref="G23:G24"/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95" t="s">
        <v>67</v>
      </c>
      <c r="C5" s="996"/>
      <c r="D5" s="996"/>
      <c r="E5" s="996"/>
      <c r="F5" s="997"/>
      <c r="H5" s="995" t="s">
        <v>67</v>
      </c>
      <c r="I5" s="996"/>
      <c r="J5" s="996"/>
      <c r="K5" s="996"/>
      <c r="L5" s="996"/>
      <c r="M5" s="996"/>
      <c r="N5" s="996"/>
      <c r="O5" s="996"/>
      <c r="P5" s="996"/>
      <c r="Q5" s="996"/>
      <c r="R5" s="996"/>
      <c r="S5" s="996"/>
      <c r="T5" s="996"/>
      <c r="U5" s="996"/>
      <c r="V5" s="996"/>
      <c r="W5" s="996"/>
      <c r="X5" s="996"/>
      <c r="Y5" s="996"/>
      <c r="Z5" s="996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996"/>
      <c r="AO5" s="996"/>
      <c r="AP5" s="996"/>
      <c r="AQ5" s="996"/>
      <c r="AR5" s="996"/>
      <c r="AS5" s="997"/>
    </row>
    <row r="6" spans="2:55" ht="15.75" customHeight="1" x14ac:dyDescent="0.2">
      <c r="B6" s="995" t="s">
        <v>66</v>
      </c>
      <c r="C6" s="996"/>
      <c r="D6" s="996"/>
      <c r="E6" s="996"/>
      <c r="F6" s="997"/>
      <c r="H6" s="995" t="s">
        <v>68</v>
      </c>
      <c r="I6" s="996"/>
      <c r="J6" s="996"/>
      <c r="K6" s="996"/>
      <c r="L6" s="996"/>
      <c r="M6" s="996"/>
      <c r="N6" s="996"/>
      <c r="O6" s="996"/>
      <c r="P6" s="996"/>
      <c r="Q6" s="996"/>
      <c r="R6" s="996"/>
      <c r="S6" s="996"/>
      <c r="T6" s="996"/>
      <c r="U6" s="996"/>
      <c r="V6" s="996"/>
      <c r="W6" s="996"/>
      <c r="X6" s="996"/>
      <c r="Y6" s="996"/>
      <c r="Z6" s="996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996"/>
      <c r="AO6" s="996"/>
      <c r="AP6" s="996"/>
      <c r="AQ6" s="996"/>
      <c r="AR6" s="996"/>
      <c r="AS6" s="997"/>
    </row>
    <row r="7" spans="2:55" ht="15.75" customHeight="1" x14ac:dyDescent="0.25">
      <c r="B7" s="975" t="s">
        <v>9</v>
      </c>
      <c r="C7" s="976"/>
      <c r="D7" s="979" t="s">
        <v>46</v>
      </c>
      <c r="E7" s="980"/>
      <c r="F7" s="981"/>
      <c r="H7" s="991" t="s">
        <v>65</v>
      </c>
      <c r="I7" s="992"/>
      <c r="J7" s="30"/>
      <c r="K7" s="30"/>
      <c r="L7" s="30"/>
      <c r="M7" s="30"/>
      <c r="N7" s="30"/>
      <c r="O7" s="30"/>
      <c r="P7" s="30"/>
      <c r="Q7" s="30"/>
      <c r="R7" s="14"/>
      <c r="S7" s="1004">
        <v>2</v>
      </c>
      <c r="T7" s="1005"/>
      <c r="U7" s="1006"/>
      <c r="V7" s="998"/>
      <c r="W7" s="999"/>
      <c r="X7" s="1000"/>
      <c r="Y7" s="1004">
        <v>1.5</v>
      </c>
      <c r="Z7" s="1005"/>
      <c r="AA7" s="1006"/>
      <c r="AB7" s="998"/>
      <c r="AC7" s="999"/>
      <c r="AD7" s="1000"/>
      <c r="AE7" s="998"/>
      <c r="AF7" s="999"/>
      <c r="AG7" s="1000"/>
      <c r="AH7" s="1004">
        <v>1</v>
      </c>
      <c r="AI7" s="1005"/>
      <c r="AJ7" s="1006"/>
      <c r="AK7" s="998"/>
      <c r="AL7" s="999"/>
      <c r="AM7" s="1000"/>
      <c r="AN7" s="1004">
        <v>0.75</v>
      </c>
      <c r="AO7" s="1005"/>
      <c r="AP7" s="1006"/>
      <c r="AQ7" s="1004">
        <v>0.5</v>
      </c>
      <c r="AR7" s="1005"/>
      <c r="AS7" s="1006"/>
    </row>
    <row r="8" spans="2:55" ht="15.75" customHeight="1" x14ac:dyDescent="0.25">
      <c r="B8" s="977"/>
      <c r="C8" s="978"/>
      <c r="D8" s="982"/>
      <c r="E8" s="983"/>
      <c r="F8" s="984"/>
      <c r="H8" s="993" t="s">
        <v>64</v>
      </c>
      <c r="I8" s="994"/>
      <c r="J8" s="988">
        <v>1</v>
      </c>
      <c r="K8" s="989"/>
      <c r="L8" s="990"/>
      <c r="M8" s="988">
        <v>2</v>
      </c>
      <c r="N8" s="989"/>
      <c r="O8" s="990"/>
      <c r="P8" s="988">
        <v>3</v>
      </c>
      <c r="Q8" s="989"/>
      <c r="R8" s="990"/>
      <c r="S8" s="988">
        <v>357</v>
      </c>
      <c r="T8" s="989"/>
      <c r="U8" s="990"/>
      <c r="V8" s="988">
        <v>4</v>
      </c>
      <c r="W8" s="989"/>
      <c r="X8" s="990"/>
      <c r="Y8" s="988">
        <v>467</v>
      </c>
      <c r="Z8" s="989"/>
      <c r="AA8" s="990"/>
      <c r="AB8" s="988">
        <v>5</v>
      </c>
      <c r="AC8" s="989"/>
      <c r="AD8" s="990"/>
      <c r="AE8" s="988">
        <v>56</v>
      </c>
      <c r="AF8" s="989"/>
      <c r="AG8" s="990"/>
      <c r="AH8" s="988">
        <v>57</v>
      </c>
      <c r="AI8" s="989"/>
      <c r="AJ8" s="990"/>
      <c r="AK8" s="988">
        <v>6</v>
      </c>
      <c r="AL8" s="989"/>
      <c r="AM8" s="990"/>
      <c r="AN8" s="988">
        <v>67</v>
      </c>
      <c r="AO8" s="989"/>
      <c r="AP8" s="990"/>
      <c r="AQ8" s="988">
        <v>7</v>
      </c>
      <c r="AR8" s="989"/>
      <c r="AS8" s="990"/>
      <c r="AT8" s="988">
        <v>8</v>
      </c>
      <c r="AU8" s="989"/>
      <c r="AV8" s="990"/>
    </row>
    <row r="9" spans="2:55" ht="15.75" customHeight="1" x14ac:dyDescent="0.25">
      <c r="B9" s="31" t="s">
        <v>11</v>
      </c>
      <c r="C9" s="31" t="s">
        <v>12</v>
      </c>
      <c r="D9" s="985"/>
      <c r="E9" s="986"/>
      <c r="F9" s="987"/>
      <c r="H9" s="32" t="s">
        <v>11</v>
      </c>
      <c r="I9" s="32" t="s">
        <v>12</v>
      </c>
      <c r="J9" s="988" t="s">
        <v>51</v>
      </c>
      <c r="K9" s="989"/>
      <c r="L9" s="990"/>
      <c r="M9" s="988" t="s">
        <v>52</v>
      </c>
      <c r="N9" s="989"/>
      <c r="O9" s="990"/>
      <c r="P9" s="988" t="s">
        <v>53</v>
      </c>
      <c r="Q9" s="989"/>
      <c r="R9" s="990"/>
      <c r="S9" s="988" t="s">
        <v>54</v>
      </c>
      <c r="T9" s="989"/>
      <c r="U9" s="990"/>
      <c r="V9" s="988" t="s">
        <v>55</v>
      </c>
      <c r="W9" s="989"/>
      <c r="X9" s="990"/>
      <c r="Y9" s="988" t="s">
        <v>56</v>
      </c>
      <c r="Z9" s="989"/>
      <c r="AA9" s="990"/>
      <c r="AB9" s="988" t="s">
        <v>57</v>
      </c>
      <c r="AC9" s="989"/>
      <c r="AD9" s="990"/>
      <c r="AE9" s="988" t="s">
        <v>58</v>
      </c>
      <c r="AF9" s="989"/>
      <c r="AG9" s="990"/>
      <c r="AH9" s="988" t="s">
        <v>59</v>
      </c>
      <c r="AI9" s="989"/>
      <c r="AJ9" s="990"/>
      <c r="AK9" s="988" t="s">
        <v>60</v>
      </c>
      <c r="AL9" s="989"/>
      <c r="AM9" s="990"/>
      <c r="AN9" s="988" t="s">
        <v>61</v>
      </c>
      <c r="AO9" s="989"/>
      <c r="AP9" s="990"/>
      <c r="AQ9" s="988" t="s">
        <v>62</v>
      </c>
      <c r="AR9" s="989"/>
      <c r="AS9" s="990"/>
      <c r="AT9" s="988" t="s">
        <v>63</v>
      </c>
      <c r="AU9" s="989"/>
      <c r="AV9" s="990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79" t="s">
        <v>46</v>
      </c>
      <c r="K25" s="980"/>
      <c r="L25" s="981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2"/>
      <c r="K26" s="983"/>
      <c r="L26" s="984"/>
      <c r="Q26" s="25"/>
      <c r="R26" s="25"/>
      <c r="S26" s="1001" t="s">
        <v>43</v>
      </c>
      <c r="T26" s="1002"/>
      <c r="U26" s="1003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5"/>
      <c r="K27" s="986"/>
      <c r="L27" s="987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74"/>
      <c r="D33" s="974"/>
      <c r="E33" s="974"/>
      <c r="F33" s="974"/>
      <c r="G33" s="97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AB9:AD9"/>
    <mergeCell ref="M8:O8"/>
    <mergeCell ref="M9:O9"/>
    <mergeCell ref="P8:R8"/>
    <mergeCell ref="P9:R9"/>
    <mergeCell ref="S8:U8"/>
    <mergeCell ref="S9:U9"/>
    <mergeCell ref="C33:G33"/>
    <mergeCell ref="B7:C8"/>
    <mergeCell ref="D7:F9"/>
    <mergeCell ref="J9:L9"/>
    <mergeCell ref="J8:L8"/>
    <mergeCell ref="H7:I7"/>
    <mergeCell ref="H8:I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kevin skibidi</cp:lastModifiedBy>
  <cp:lastPrinted>2026-06-13T16:41:23Z</cp:lastPrinted>
  <dcterms:created xsi:type="dcterms:W3CDTF">1999-11-07T15:11:55Z</dcterms:created>
  <dcterms:modified xsi:type="dcterms:W3CDTF">2026-07-20T15:39:00Z</dcterms:modified>
</cp:coreProperties>
</file>