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1C7E7A1D-B178-4CCF-B6A2-07B5D3133E7B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informe NTP" sheetId="91" state="hidden" r:id="rId1"/>
    <sheet name="Resumen" sheetId="97" r:id="rId2"/>
    <sheet name="informe ASTM" sheetId="92" r:id="rId3"/>
    <sheet name="Datos ensayo" sheetId="95" r:id="rId4"/>
    <sheet name="Incertidumbre" sheetId="93" r:id="rId5"/>
    <sheet name="Balanza" sheetId="94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'Datos ensayo'!$A$1:$L$53</definedName>
    <definedName name="_xlnm.Print_Area" localSheetId="2">'informe ASTM'!$A$1:$N$52</definedName>
    <definedName name="_xlnm.Print_Area" localSheetId="0">'informe NTP'!$A$1:$K$52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92" l="1"/>
  <c r="N15" i="92"/>
  <c r="E15" i="92"/>
  <c r="E14" i="92"/>
  <c r="N7" i="92"/>
  <c r="N6" i="92"/>
  <c r="C6" i="92"/>
  <c r="C7" i="92"/>
  <c r="C8" i="92"/>
  <c r="C5" i="92"/>
  <c r="Q16" i="92" l="1"/>
  <c r="N14" i="92"/>
  <c r="E15" i="95"/>
  <c r="F5" i="95"/>
  <c r="D13" i="95" l="1"/>
  <c r="K37" i="92"/>
  <c r="K38" i="92"/>
  <c r="D9" i="95"/>
  <c r="F7" i="95"/>
  <c r="L30" i="92" l="1"/>
  <c r="E16" i="92"/>
  <c r="L32" i="92"/>
  <c r="L33" i="92"/>
  <c r="L34" i="92"/>
  <c r="L31" i="92"/>
  <c r="G19" i="95"/>
  <c r="G20" i="95"/>
  <c r="G21" i="95"/>
  <c r="G22" i="95"/>
  <c r="G18" i="95"/>
  <c r="D11" i="95" l="1"/>
  <c r="E11" i="95" s="1"/>
  <c r="K10" i="95" l="1"/>
  <c r="H10" i="95"/>
  <c r="K9" i="95"/>
  <c r="H9" i="95"/>
  <c r="J10" i="95"/>
  <c r="J9" i="95"/>
  <c r="F8" i="95" s="1"/>
  <c r="E23" i="96" l="1"/>
  <c r="F23" i="96"/>
  <c r="E24" i="96"/>
  <c r="F24" i="96"/>
  <c r="E25" i="96"/>
  <c r="F25" i="96"/>
  <c r="E26" i="96"/>
  <c r="F26" i="96"/>
  <c r="D20" i="96"/>
  <c r="E20" i="96"/>
  <c r="F20" i="96"/>
  <c r="C21" i="96"/>
  <c r="H19" i="95" l="1"/>
  <c r="K20" i="92"/>
  <c r="H20" i="95" l="1"/>
  <c r="H22" i="95"/>
  <c r="H21" i="95"/>
  <c r="N17" i="92"/>
  <c r="H27" i="95" l="1"/>
  <c r="H23" i="95"/>
  <c r="E49" i="94"/>
  <c r="F49" i="94"/>
  <c r="G49" i="94"/>
  <c r="H49" i="94"/>
  <c r="D49" i="94"/>
  <c r="I41" i="93" l="1"/>
  <c r="J45" i="94"/>
  <c r="M45" i="94" s="1"/>
  <c r="L50" i="94" s="1"/>
  <c r="B45" i="94"/>
  <c r="E45" i="94" s="1"/>
  <c r="C54" i="93" l="1"/>
  <c r="C50" i="93"/>
  <c r="C46" i="93"/>
  <c r="F45" i="94"/>
  <c r="L45" i="94"/>
  <c r="K50" i="94" s="1"/>
  <c r="D45" i="94"/>
  <c r="O45" i="94"/>
  <c r="N50" i="94" s="1"/>
  <c r="N45" i="94"/>
  <c r="M50" i="94" s="1"/>
  <c r="H45" i="94"/>
  <c r="G45" i="94"/>
  <c r="D26" i="96" l="1"/>
  <c r="C26" i="96"/>
  <c r="D25" i="96"/>
  <c r="C25" i="96"/>
  <c r="D24" i="96"/>
  <c r="C24" i="96"/>
  <c r="D23" i="96"/>
  <c r="C23" i="96"/>
  <c r="C20" i="96"/>
  <c r="C32" i="96" l="1"/>
  <c r="C30" i="96"/>
  <c r="C31" i="96"/>
  <c r="C29" i="96"/>
  <c r="C28" i="96"/>
  <c r="C33" i="96" l="1"/>
  <c r="C36" i="96" s="1"/>
  <c r="B55" i="93" s="1"/>
  <c r="C34" i="96" l="1"/>
  <c r="C37" i="96" s="1"/>
  <c r="F55" i="93" s="1"/>
  <c r="F54" i="94"/>
  <c r="K21" i="92"/>
  <c r="G24" i="95"/>
  <c r="G23" i="95"/>
  <c r="D50" i="94"/>
  <c r="E50" i="94"/>
  <c r="F50" i="94"/>
  <c r="G50" i="94"/>
  <c r="H50" i="94"/>
  <c r="F46" i="93"/>
  <c r="F50" i="93"/>
  <c r="F54" i="93"/>
  <c r="B63" i="93"/>
  <c r="B64" i="93"/>
  <c r="B65" i="93"/>
  <c r="B66" i="93"/>
  <c r="C35" i="96" l="1"/>
  <c r="H55" i="93"/>
  <c r="C66" i="93" s="1"/>
  <c r="G25" i="95"/>
  <c r="M53" i="94"/>
  <c r="N53" i="94" s="1"/>
  <c r="F53" i="94"/>
  <c r="G53" i="94" s="1"/>
  <c r="G54" i="94"/>
  <c r="M54" i="94"/>
  <c r="N54" i="94" s="1"/>
  <c r="F52" i="94"/>
  <c r="B43" i="93" s="1"/>
  <c r="C45" i="93" s="1"/>
  <c r="M52" i="94"/>
  <c r="N52" i="94" s="1"/>
  <c r="K24" i="92"/>
  <c r="K22" i="92"/>
  <c r="H28" i="95"/>
  <c r="H24" i="95"/>
  <c r="K26" i="92" s="1"/>
  <c r="K23" i="92"/>
  <c r="V31" i="91"/>
  <c r="V29" i="91"/>
  <c r="V28" i="91"/>
  <c r="V27" i="91"/>
  <c r="V26" i="91"/>
  <c r="U32" i="91"/>
  <c r="U30" i="91"/>
  <c r="R32" i="91"/>
  <c r="R30" i="91"/>
  <c r="S28" i="91"/>
  <c r="H28" i="91" s="1"/>
  <c r="S29" i="91"/>
  <c r="H29" i="91" s="1"/>
  <c r="S31" i="91"/>
  <c r="H31" i="91" s="1"/>
  <c r="S27" i="91"/>
  <c r="H27" i="91" s="1"/>
  <c r="S26" i="91"/>
  <c r="S42" i="91"/>
  <c r="S44" i="91" s="1"/>
  <c r="A8" i="91"/>
  <c r="C52" i="93" l="1"/>
  <c r="C48" i="93"/>
  <c r="F48" i="93" s="1"/>
  <c r="B47" i="93"/>
  <c r="C49" i="93" s="1"/>
  <c r="F49" i="93" s="1"/>
  <c r="G52" i="94"/>
  <c r="C44" i="93" s="1"/>
  <c r="H25" i="95"/>
  <c r="F45" i="93"/>
  <c r="K25" i="92"/>
  <c r="H29" i="95"/>
  <c r="S30" i="91"/>
  <c r="H32" i="91"/>
  <c r="S32" i="91"/>
  <c r="D44" i="91"/>
  <c r="V30" i="91"/>
  <c r="V32" i="91"/>
  <c r="U33" i="91"/>
  <c r="H26" i="91"/>
  <c r="H30" i="91" s="1"/>
  <c r="S43" i="91"/>
  <c r="F47" i="93" l="1"/>
  <c r="F44" i="93"/>
  <c r="F43" i="93" s="1"/>
  <c r="B51" i="93"/>
  <c r="C53" i="93" s="1"/>
  <c r="F52" i="93"/>
  <c r="K27" i="92"/>
  <c r="H26" i="95"/>
  <c r="S33" i="91"/>
  <c r="H33" i="91" s="1"/>
  <c r="S47" i="91"/>
  <c r="S46" i="91"/>
  <c r="V33" i="91"/>
  <c r="G43" i="93" l="1"/>
  <c r="H43" i="93" s="1"/>
  <c r="C63" i="93" s="1"/>
  <c r="G47" i="93"/>
  <c r="H47" i="93" s="1"/>
  <c r="C64" i="93" s="1"/>
  <c r="G51" i="93"/>
  <c r="B42" i="93"/>
  <c r="H25" i="91"/>
  <c r="H24" i="91"/>
  <c r="F53" i="93" l="1"/>
  <c r="F51" i="93" s="1"/>
  <c r="H51" i="93" s="1"/>
  <c r="C65" i="93" s="1"/>
  <c r="R33" i="91"/>
  <c r="C67" i="93" l="1"/>
  <c r="F56" i="93"/>
  <c r="F57" i="93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66" i="93" l="1"/>
  <c r="D67" i="93"/>
  <c r="D64" i="93"/>
  <c r="D63" i="93"/>
  <c r="D65" i="93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<sst xmlns="http://schemas.openxmlformats.org/spreadsheetml/2006/main" count="571" uniqueCount="348">
  <si>
    <t>LABORATORIO DE ENSAYO DE MATERIALES</t>
  </si>
  <si>
    <t>CLIENTE</t>
  </si>
  <si>
    <t>:</t>
  </si>
  <si>
    <t>METRO</t>
  </si>
  <si>
    <t>DIRECCION **</t>
  </si>
  <si>
    <t>LIMA - AV. JAGSKSHD / PONER LA DIRECCION O DIRECCION FISCAL</t>
  </si>
  <si>
    <t xml:space="preserve">                 CÓDIGO</t>
  </si>
  <si>
    <t>F-LEM-P-SU.12.02</t>
  </si>
  <si>
    <t>PROYECTO **</t>
  </si>
  <si>
    <t>CONJUNTO RESIDENCIAL SAN BORJA HOMETOWN</t>
  </si>
  <si>
    <t>N° OT</t>
  </si>
  <si>
    <t>UBICACIÓN **</t>
  </si>
  <si>
    <t xml:space="preserve">CA. DURERO CDRA. 4 S/N, ALT. LA CDRA 13 DE LA AV. SAN </t>
  </si>
  <si>
    <t>N° INFORME.</t>
  </si>
  <si>
    <t>** Datos proporcionados por el cliente</t>
  </si>
  <si>
    <t>METODO DE ENSAYO PARA DETERMINAR EL CONTENIDO DE HUMEDAD DE UN SUELO</t>
  </si>
  <si>
    <t>NORMA  NTP 339.127</t>
  </si>
  <si>
    <t>DATOS DE LA MUESTRA:</t>
  </si>
  <si>
    <t>CODIGO DE LA MUESTRA</t>
  </si>
  <si>
    <t>Informacion para la Correccion por Certificado de Calibración:</t>
  </si>
  <si>
    <t>CANTERA / SONDAJE **</t>
  </si>
  <si>
    <t>C-1</t>
  </si>
  <si>
    <t>FECHA DE RECEPCIÓN</t>
  </si>
  <si>
    <t>Codigo de Balanza al 0.1g</t>
  </si>
  <si>
    <t>Variable 1</t>
  </si>
  <si>
    <t>N° MUESTRA **</t>
  </si>
  <si>
    <t>M-1</t>
  </si>
  <si>
    <t>FECHA DE EJECUCIÓN</t>
  </si>
  <si>
    <t xml:space="preserve">CODIGO </t>
  </si>
  <si>
    <t>TIPO DE MUESTRA**</t>
  </si>
  <si>
    <t>SUELO</t>
  </si>
  <si>
    <t>FECHA DE EMISIÓN</t>
  </si>
  <si>
    <t>Fecha</t>
  </si>
  <si>
    <t>LUGAR DE ENSAYO</t>
  </si>
  <si>
    <t xml:space="preserve"> Laboratorio de Ensayo de Materiales</t>
  </si>
  <si>
    <t>N° de ensayo</t>
  </si>
  <si>
    <t>N°</t>
  </si>
  <si>
    <t>CORRECCION</t>
  </si>
  <si>
    <t>Se realiza el Ensayo N° 2, por cada ORDEN DE TRABAJO</t>
  </si>
  <si>
    <t>Tara Nº</t>
  </si>
  <si>
    <t>Masa de la Tara + suelo húmedo</t>
  </si>
  <si>
    <t xml:space="preserve">g </t>
  </si>
  <si>
    <t>Tara + suelo húmedo</t>
  </si>
  <si>
    <t>Masa de la Tara + suelo seco</t>
  </si>
  <si>
    <t>Tara + suelo seco</t>
  </si>
  <si>
    <t>Masa de la Tara + suelo seco (constante 1)</t>
  </si>
  <si>
    <t>Tara + suelo seco 1</t>
  </si>
  <si>
    <t>Masa de la Tara + suelo seco (constante 2)</t>
  </si>
  <si>
    <t>Tara + suelo seco 2</t>
  </si>
  <si>
    <t>Masa de agua</t>
  </si>
  <si>
    <t>Peso de agua</t>
  </si>
  <si>
    <t>Masa de tara</t>
  </si>
  <si>
    <t>Peso de tara</t>
  </si>
  <si>
    <t>Masa de suelo seco</t>
  </si>
  <si>
    <t>Peso de suelo seco</t>
  </si>
  <si>
    <t>HUMEDAD *</t>
  </si>
  <si>
    <t>%</t>
  </si>
  <si>
    <t>Humedad</t>
  </si>
  <si>
    <t>* Reporte al 1%, indicado por la Norma de ensayo.</t>
  </si>
  <si>
    <t>TABLA  PESO MINIMO HUMEDAD</t>
  </si>
  <si>
    <t>Peso mínimo
B    --  A</t>
  </si>
  <si>
    <t xml:space="preserve">MARCA CON X </t>
  </si>
  <si>
    <t>Condiciones del ensayo (indicado en la Norma de ensayo</t>
  </si>
  <si>
    <t>Fino</t>
  </si>
  <si>
    <t>N°10</t>
  </si>
  <si>
    <t>20 - 20</t>
  </si>
  <si>
    <t>a) Se excluyó algún material de la muestra de ensayo? (Si/No)</t>
  </si>
  <si>
    <t>No</t>
  </si>
  <si>
    <t>Arena</t>
  </si>
  <si>
    <t>N°4</t>
  </si>
  <si>
    <t>100 - 20</t>
  </si>
  <si>
    <t>b) El método de secado diferente a 110°C? (Si/No)</t>
  </si>
  <si>
    <t>GRAVAS</t>
  </si>
  <si>
    <t>500 - 50</t>
  </si>
  <si>
    <t>X</t>
  </si>
  <si>
    <t>c) La muestra de ensayo presenta más de un tipo de suelo (estratificado, etc.) (Si/No)</t>
  </si>
  <si>
    <t>2500-250</t>
  </si>
  <si>
    <t>10000-1000</t>
  </si>
  <si>
    <t>Caracteristicas de la muestra:</t>
  </si>
  <si>
    <t>50000-5000</t>
  </si>
  <si>
    <t>TIPO DE MUESTRA :</t>
  </si>
  <si>
    <t>Tmax =</t>
  </si>
  <si>
    <t>CONDICIÓN DE LA MUESTRA:</t>
  </si>
  <si>
    <t>ALTERADA</t>
  </si>
  <si>
    <t>Metodo "0.1%",  Aproximación 0,1% (g)=</t>
  </si>
  <si>
    <t>TAMAÑO DE PARTICULA (in):</t>
  </si>
  <si>
    <t>Metodo "1%",  Aproximación 1% (g)=</t>
  </si>
  <si>
    <t>FORMA DE PARTICULA:</t>
  </si>
  <si>
    <t>ANGULAR</t>
  </si>
  <si>
    <t>Cambie a 0.1%, sólo si el cliente lo pide. Metodo</t>
  </si>
  <si>
    <t>Verificacion si cumple el peso minimo al 1%</t>
  </si>
  <si>
    <t>Página 1 de 1</t>
  </si>
  <si>
    <t>Verificacion si cumple el peso minimo al 0.1%</t>
  </si>
  <si>
    <t>Versión : 02 (02-01-2021)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</si>
  <si>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</si>
  <si>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</si>
  <si>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</si>
  <si>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</si>
  <si>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Observaciones:</t>
  </si>
  <si>
    <t>F-LEM-P-SU.20.02</t>
  </si>
  <si>
    <t>DIRECCIÓN **</t>
  </si>
  <si>
    <t>FECHA EMISIÓN</t>
  </si>
  <si>
    <t xml:space="preserve"> Standard Test Methods for Laboratory Determination of Water (Moisture) Content of Soil and Rock by Mass</t>
  </si>
  <si>
    <t>ASTM D2216-19</t>
  </si>
  <si>
    <t>CANTERA/SONDAJE **</t>
  </si>
  <si>
    <t>CÓDIGO DE LA MUESTRA</t>
  </si>
  <si>
    <t>Suelo</t>
  </si>
  <si>
    <t>REALIZADO POR</t>
  </si>
  <si>
    <t>Descripción</t>
  </si>
  <si>
    <t>Und</t>
  </si>
  <si>
    <t>Datos</t>
  </si>
  <si>
    <t>Recipiente Nº</t>
  </si>
  <si>
    <t>Masa del recipiente y muestra húmeda</t>
  </si>
  <si>
    <t>Masa del recipiente y muestra seca al horno</t>
  </si>
  <si>
    <t>Masa del recipiente</t>
  </si>
  <si>
    <t>Masa del agua</t>
  </si>
  <si>
    <t>Masa de muestra seca al horno</t>
  </si>
  <si>
    <t>CONTENIDO DE AGUA (HUMEDAD) *</t>
  </si>
  <si>
    <t>Condiciones del ensayo:</t>
  </si>
  <si>
    <t>- Método de prueba utilizado</t>
  </si>
  <si>
    <t>- La muestra de ensayo tiene una masa menor que la mínima requerida por la norma. (Si/No)</t>
  </si>
  <si>
    <t>- La muestra de ensayo presenta más de un tipo de material (en capas, etc.) (Si/No)</t>
  </si>
  <si>
    <t>- La temperatura de secado es diferente a 110 ± 5°C. (Si/No)</t>
  </si>
  <si>
    <t>- Se excluyó algún material (tamaño y cantidad) de la muestra de prueba. (Si/No)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</si>
  <si>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</si>
  <si>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</si>
  <si>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</si>
  <si>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</si>
  <si>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</si>
  <si>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</si>
  <si>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METODO A o B</t>
  </si>
  <si>
    <t>METODO A: se reporta al 1%</t>
  </si>
  <si>
    <t>METODO B: se reporta al 0.1%</t>
  </si>
  <si>
    <t>PRECISIÓN BALANZA (0.1g o 0.01g)</t>
  </si>
  <si>
    <t>Correccion</t>
  </si>
  <si>
    <t>Codigo balanza</t>
  </si>
  <si>
    <t>EQP-0046</t>
  </si>
  <si>
    <t>EQP-0045</t>
  </si>
  <si>
    <t>Perdida de masa seca adicional</t>
  </si>
  <si>
    <t xml:space="preserve">Perdida de masa seca constante (adicional), para metodo A es &lt; 1% </t>
  </si>
  <si>
    <t xml:space="preserve">Perdida de masa seca constante (adicional), para metodo B es &lt; 0.1% </t>
  </si>
  <si>
    <t>metodo A</t>
  </si>
  <si>
    <t>Tamaño maximo de la particula que pasa</t>
  </si>
  <si>
    <t>masa minima</t>
  </si>
  <si>
    <t>balanza</t>
  </si>
  <si>
    <t>3 in.</t>
  </si>
  <si>
    <t>5 kg</t>
  </si>
  <si>
    <t>1.1/2 in.</t>
  </si>
  <si>
    <t>1 kg</t>
  </si>
  <si>
    <t>3/4 in.</t>
  </si>
  <si>
    <t>250 g</t>
  </si>
  <si>
    <t>metodo B</t>
  </si>
  <si>
    <t>500 g</t>
  </si>
  <si>
    <t>No. 4</t>
  </si>
  <si>
    <t>100 g</t>
  </si>
  <si>
    <t>No. 10</t>
  </si>
  <si>
    <t>20 g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</si>
  <si>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</si>
  <si>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</si>
  <si>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</si>
  <si>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</si>
  <si>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</si>
  <si>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</si>
  <si>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</si>
  <si>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</si>
  <si>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Determination of Water (Moisture) Content of Soil and Rock by Mass</t>
  </si>
  <si>
    <t>Norma:</t>
  </si>
  <si>
    <t>Revisado por:</t>
  </si>
  <si>
    <t>Aprobado por:</t>
  </si>
  <si>
    <t>Matriz:</t>
  </si>
  <si>
    <t>Mensurando</t>
  </si>
  <si>
    <t>Agua presente en la matriz de Suelo</t>
  </si>
  <si>
    <t>Paso 1. Definicion del proceso de medición</t>
  </si>
  <si>
    <t>Variables:</t>
  </si>
  <si>
    <t>Masa humeda (Mcms)</t>
  </si>
  <si>
    <t>Masa seca ( Mcdc)</t>
  </si>
  <si>
    <t>Masa tara (Mc)</t>
  </si>
  <si>
    <t>Fórmula:</t>
  </si>
  <si>
    <t>Equipos a utilizar:</t>
  </si>
  <si>
    <t>Balanza con resulución de lectura de 0.1g o 0.01g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</si>
  <si>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</si>
  <si>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</si>
  <si>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</si>
  <si>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</si>
  <si>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</si>
  <si>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</si>
  <si>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</si>
  <si>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</si>
  <si>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</si>
  <si>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</si>
  <si>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</si>
  <si>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</si>
  <si>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  y tara</t>
  </si>
  <si>
    <t>g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</si>
  <si>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</si>
  <si>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</si>
  <si>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</si>
  <si>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</si>
  <si>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</si>
  <si>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</si>
  <si>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 y tara</t>
  </si>
  <si>
    <t>Masa Tara</t>
  </si>
  <si>
    <t>factor de presición</t>
  </si>
  <si>
    <t>Norma, K=1</t>
  </si>
  <si>
    <t>Incertidumbre Estándar Combinada</t>
  </si>
  <si>
    <t>PASO 7</t>
  </si>
  <si>
    <t>Incertidumbre Expandida, K = 2</t>
  </si>
  <si>
    <t>PASO 8</t>
  </si>
  <si>
    <t>CONTRIBUCION</t>
  </si>
  <si>
    <t>Factor de Influencia</t>
  </si>
  <si>
    <t xml:space="preserve">% </t>
  </si>
  <si>
    <t>CALIBRACION DE LA BALANZA</t>
  </si>
  <si>
    <t>Variables</t>
  </si>
  <si>
    <t>Ecuacion</t>
  </si>
  <si>
    <t>Resolucion</t>
  </si>
  <si>
    <t>0.01</t>
  </si>
  <si>
    <t xml:space="preserve">Codigo </t>
  </si>
  <si>
    <t>MES</t>
  </si>
  <si>
    <t>DESV STD</t>
  </si>
  <si>
    <t>Busqueda de Repetibilidad de la masa</t>
  </si>
  <si>
    <t>INCERTIDUMBRE ESTANDAR -TIPO A</t>
  </si>
  <si>
    <t>TALLER DE INCERTIDUMBRE ESTANDAR -TIPO A</t>
  </si>
  <si>
    <t>Fecha de evaluacion:</t>
  </si>
  <si>
    <t>1-Calcular la Incertidumbre estandar bajo condiciones de reproducibilidad Humedad</t>
  </si>
  <si>
    <t>analista(p=2)</t>
  </si>
  <si>
    <t>Réplicas de medición (n=12)</t>
  </si>
  <si>
    <t>n</t>
  </si>
  <si>
    <t>p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</si>
  <si>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Datos</t>
    </r>
  </si>
  <si>
    <r>
      <t>Promedio (x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</si>
  <si>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r>
      <t>Desviación Estándar (s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</si>
  <si>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r>
      <t>Varianza (s</t>
    </r>
    <r>
      <rPr>
        <vertAlign val="superscript"/>
        <sz val="10"/>
        <rFont val="Arial"/>
        <family val="2"/>
      </rPr>
      <t>2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</si>
  <si>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</si>
  <si>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</si>
  <si>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</si>
  <si>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</si>
  <si>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</si>
  <si>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</si>
  <si>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</si>
  <si>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</si>
  <si>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</si>
  <si>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</si>
  <si>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</si>
  <si>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</si>
  <si>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</si>
  <si>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</si>
  <si>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</si>
  <si>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</si>
  <si>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</si>
  <si>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</si>
  <si>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</si>
  <si>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</si>
  <si>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</si>
  <si>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</si>
  <si>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</si>
  <si>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</si>
  <si>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</si>
  <si>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</si>
  <si>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Descripción de la muestra:</t>
  </si>
  <si>
    <t>Forma de la particula</t>
  </si>
  <si>
    <t>Tamaño máximo de partícula (in)</t>
  </si>
  <si>
    <t>Masa del recipiente y muestra seca al horno (constante)</t>
  </si>
  <si>
    <t xml:space="preserve">Fabian la </t>
  </si>
  <si>
    <t>Rosa - 18/01/23</t>
  </si>
  <si>
    <t>Irma Coaquira Layme - 18/01/23</t>
  </si>
  <si>
    <t>TIPO DE MUESTRA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</si>
  <si>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</si>
  <si>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</si>
  <si>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>Versión: 06 (04-01-2024)</t>
  </si>
  <si>
    <t>-</t>
  </si>
  <si>
    <t>B.P.G</t>
  </si>
  <si>
    <t>I.CH.A</t>
  </si>
  <si>
    <t>D.I.C</t>
  </si>
  <si>
    <t>L.S.G</t>
  </si>
  <si>
    <t>FECHA CALIBRACION</t>
  </si>
  <si>
    <t>MASA MINIMA</t>
  </si>
  <si>
    <t>(in.)</t>
  </si>
  <si>
    <t>Cantidad mínima:</t>
  </si>
  <si>
    <t>TM</t>
  </si>
  <si>
    <t>(g)</t>
  </si>
  <si>
    <t>Precisiòn</t>
  </si>
  <si>
    <t>0,1 g</t>
  </si>
  <si>
    <t>F. calibraciòn</t>
  </si>
  <si>
    <t>0,01 g</t>
  </si>
  <si>
    <t>Forma particula</t>
  </si>
  <si>
    <t>Tamaño máximo TM:</t>
  </si>
  <si>
    <t>1/2</t>
  </si>
  <si>
    <t>3/8</t>
  </si>
  <si>
    <t>ÍTEM</t>
  </si>
  <si>
    <t>FORMATO N° F-LEM-P-SU-20.01</t>
  </si>
  <si>
    <t>MUESTRA</t>
  </si>
  <si>
    <t>FECHA DE ENSAYO</t>
  </si>
  <si>
    <t>REALIZADO</t>
  </si>
  <si>
    <t>Condiciones del ensayo</t>
  </si>
  <si>
    <t>- La muestra de ensayo presenta más de un tipo de material (capas, etc.) (Si/No)</t>
  </si>
  <si>
    <t>Descripción de la muestra</t>
  </si>
  <si>
    <t>Tipo de muestra:</t>
  </si>
  <si>
    <t>Condición de la muestra:</t>
  </si>
  <si>
    <t>Tamaño máximo de la particula (visual) (in):</t>
  </si>
  <si>
    <t>1 1/2</t>
  </si>
  <si>
    <t>DESCRIPCIÓN</t>
  </si>
  <si>
    <t>UND</t>
  </si>
  <si>
    <t>ENSAYO</t>
  </si>
  <si>
    <t>2</t>
  </si>
  <si>
    <t>Masa del recipiente y muestra seca al horno constante</t>
  </si>
  <si>
    <t>Masa de muestra seca al horno (5-6)</t>
  </si>
  <si>
    <t>CONTENIDO DE AGUA (HUMEDAD) *          (7/8*100)</t>
  </si>
  <si>
    <t>Método A</t>
  </si>
  <si>
    <t>Equipo utilizado</t>
  </si>
  <si>
    <t>Tamaño máximo de la partícula que pasa</t>
  </si>
  <si>
    <t>Masa mínima</t>
  </si>
  <si>
    <t>Legibilidad de la balanza</t>
  </si>
  <si>
    <t>Balanza 0.1 g</t>
  </si>
  <si>
    <t>3 in</t>
  </si>
  <si>
    <t>0.1 g</t>
  </si>
  <si>
    <t>Balanza 0.01 g</t>
  </si>
  <si>
    <t>1 1/2 in</t>
  </si>
  <si>
    <t>3/4 in</t>
  </si>
  <si>
    <t>Horno 110ºC</t>
  </si>
  <si>
    <t>Método B</t>
  </si>
  <si>
    <t>3/8 in</t>
  </si>
  <si>
    <t>0.01 g</t>
  </si>
  <si>
    <t>Fuente: Elaboración propia en base a la Norma ASTM D2216-19.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</si>
  <si>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</si>
  <si>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</si>
  <si>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MÉTODO PRUEBA</t>
  </si>
  <si>
    <t>MÉTODO "A" o "B"</t>
  </si>
  <si>
    <t>Forma de la partìcula:</t>
  </si>
  <si>
    <t>2 1/2</t>
  </si>
  <si>
    <t>3</t>
  </si>
  <si>
    <t>1</t>
  </si>
  <si>
    <t>3/4</t>
  </si>
  <si>
    <t xml:space="preserve">Descripción material excluido: </t>
  </si>
  <si>
    <t>Masa del agua (3-5)</t>
  </si>
  <si>
    <t>Versión: 05 (23-02-2026)</t>
  </si>
  <si>
    <t>F. EMISIÓN</t>
  </si>
  <si>
    <t>OT N°</t>
  </si>
  <si>
    <t>2*RAIZ(0.0000443+0.000000000230xR2)</t>
  </si>
  <si>
    <t>2*RAIZ(0.00416+0.000000000243*R2)</t>
  </si>
  <si>
    <t>Fecha calibracion</t>
  </si>
  <si>
    <t xml:space="preserve">Revisado:
Fecha: </t>
  </si>
  <si>
    <t>REVISADO POR:</t>
  </si>
  <si>
    <t>FABIAN LA ROSA</t>
  </si>
  <si>
    <t>APROBADO POR:</t>
  </si>
  <si>
    <t>IRMA COAQUIRA</t>
  </si>
  <si>
    <t>FECHA DE REVISIÓN:</t>
  </si>
  <si>
    <t>FECHA DE APROBACIÓN:</t>
  </si>
  <si>
    <t>Aprobado:
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</si>
</sst>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&quot;CERTIFICADO N°&quot;000&quot;-2020&quot;"/>
    <numFmt numFmtId="171" formatCode="00\1\-\ &quot;20 SU01&quot;"/>
    <numFmt numFmtId="172" formatCode="dd\-mm\-yy;@"/>
    <numFmt numFmtId="173" formatCode="000\-\ &quot;21&quot;"/>
    <numFmt numFmtId="174" formatCode="000&quot;-21 SU12&quot;"/>
    <numFmt numFmtId="175" formatCode="000&quot;-SU-21&quot;"/>
    <numFmt numFmtId="176" formatCode="&quot;INFORME DE ENSAYO N°&quot;000&quot;-21 SU12&quot;"/>
    <numFmt numFmtId="177" formatCode="0.0000"/>
    <numFmt numFmtId="178" formatCode="0.000"/>
    <numFmt numFmtId="179" formatCode="0.00000"/>
    <numFmt numFmtId="180" formatCode="&quot;0&quot;0"/>
    <numFmt numFmtId="181" formatCode="0.0000000"/>
    <numFmt numFmtId="182" formatCode="0.000000"/>
    <numFmt numFmtId="183" formatCode="yyyy\-mm\-dd;@"/>
    <numFmt numFmtId="184" formatCode="0\ &quot;g&quot;"/>
    <numFmt numFmtId="185" formatCode="#,###.0"/>
    <numFmt numFmtId="186" formatCode="&quot;INFORME DE ENSAYO N°&quot;000&quot;-26 SU20&quot;"/>
    <numFmt numFmtId="187" formatCode="000&quot;-SU-26&quot;"/>
    <numFmt numFmtId="188" formatCode="000\-\ &quot;26&quot;"/>
    <numFmt numFmtId="189" formatCode="&quot;FORMATO F-LEM-P-SU-11.01&quot;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9"/>
      <color rgb="FF0000FF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7.5"/>
      <name val="Arial"/>
      <family val="2"/>
    </font>
    <font>
      <sz val="7"/>
      <name val="Exo 2"/>
      <family val="3"/>
    </font>
    <font>
      <sz val="5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7"/>
      <name val="Arial"/>
      <family val="2"/>
    </font>
    <font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sz val="11"/>
      <color rgb="FFFFFF00"/>
      <name val="Times New Roman"/>
      <family val="1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00"/>
      <name val="Times New Roman"/>
      <family val="1"/>
    </font>
    <font>
      <b/>
      <sz val="11"/>
      <color rgb="FFFFFF00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10"/>
      <color rgb="FF00B0F0"/>
      <name val="Arial"/>
      <family val="2"/>
    </font>
    <font>
      <sz val="10"/>
      <color rgb="FF0000FF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745">
    <xf numFmtId="0" fontId="0" fillId="0" borderId="0" xfId="0"/>
    <xf numFmtId="0" fontId="0" fillId="0" borderId="1" xfId="0" applyBorder="1"/>
    <xf numFmtId="2" fontId="10" fillId="2" borderId="1" xfId="0" applyNumberFormat="1" applyFont="1" applyFill="1" applyBorder="1" applyAlignment="1">
      <alignment vertical="center" wrapText="1"/>
    </xf>
    <xf numFmtId="10" fontId="11" fillId="2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2" borderId="1" xfId="0" applyNumberFormat="1" applyFont="1" applyFill="1" applyBorder="1" applyAlignment="1">
      <alignment vertical="center" wrapText="1"/>
    </xf>
    <xf numFmtId="168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Protection="1">
      <protection hidden="1"/>
    </xf>
    <xf numFmtId="0" fontId="7" fillId="0" borderId="0" xfId="0" applyFont="1" applyAlignment="1">
      <alignment vertical="center"/>
    </xf>
    <xf numFmtId="170" fontId="8" fillId="0" borderId="0" xfId="0" applyNumberFormat="1" applyFont="1" applyProtection="1">
      <protection hidden="1"/>
    </xf>
    <xf numFmtId="0" fontId="15" fillId="0" borderId="0" xfId="0" applyFont="1" applyAlignment="1">
      <alignment horizontal="center" vertical="center"/>
    </xf>
    <xf numFmtId="0" fontId="22" fillId="0" borderId="0" xfId="2" applyFont="1" applyAlignment="1">
      <alignment vertical="center"/>
    </xf>
    <xf numFmtId="0" fontId="22" fillId="0" borderId="0" xfId="2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Protection="1">
      <protection hidden="1"/>
    </xf>
    <xf numFmtId="0" fontId="13" fillId="0" borderId="0" xfId="0" applyFont="1" applyAlignment="1">
      <alignment vertical="center"/>
    </xf>
    <xf numFmtId="0" fontId="22" fillId="0" borderId="0" xfId="2" applyFont="1" applyAlignment="1">
      <alignment horizontal="right" vertical="center"/>
    </xf>
    <xf numFmtId="173" fontId="12" fillId="0" borderId="0" xfId="0" applyNumberFormat="1" applyFont="1" applyAlignment="1">
      <alignment horizontal="left" vertical="center"/>
    </xf>
    <xf numFmtId="171" fontId="12" fillId="0" borderId="0" xfId="0" applyNumberFormat="1" applyFont="1" applyAlignment="1">
      <alignment horizontal="left" vertical="center"/>
    </xf>
    <xf numFmtId="0" fontId="8" fillId="0" borderId="0" xfId="0" applyFont="1" applyAlignment="1" applyProtection="1">
      <alignment horizontal="left"/>
      <protection hidden="1"/>
    </xf>
    <xf numFmtId="165" fontId="8" fillId="0" borderId="0" xfId="0" applyNumberFormat="1" applyFont="1" applyAlignment="1" applyProtection="1">
      <alignment horizontal="left" vertical="center"/>
      <protection hidden="1"/>
    </xf>
    <xf numFmtId="17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17" fontId="12" fillId="0" borderId="0" xfId="0" applyNumberFormat="1" applyFont="1" applyAlignment="1">
      <alignment vertical="center"/>
    </xf>
    <xf numFmtId="0" fontId="22" fillId="0" borderId="3" xfId="2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22" fillId="0" borderId="3" xfId="2" applyFont="1" applyBorder="1" applyAlignment="1">
      <alignment horizontal="right" vertical="center"/>
    </xf>
    <xf numFmtId="17" fontId="12" fillId="0" borderId="5" xfId="0" applyNumberFormat="1" applyFont="1" applyBorder="1" applyAlignment="1">
      <alignment vertical="center"/>
    </xf>
    <xf numFmtId="0" fontId="25" fillId="0" borderId="0" xfId="2" applyFont="1" applyAlignment="1">
      <alignment vertical="center"/>
    </xf>
    <xf numFmtId="0" fontId="12" fillId="0" borderId="6" xfId="2" applyFont="1" applyBorder="1" applyAlignment="1">
      <alignment vertical="center"/>
    </xf>
    <xf numFmtId="0" fontId="12" fillId="0" borderId="0" xfId="2" applyFont="1" applyAlignment="1">
      <alignment horizontal="center" vertical="center"/>
    </xf>
    <xf numFmtId="0" fontId="23" fillId="0" borderId="0" xfId="0" applyFont="1" applyProtection="1">
      <protection hidden="1"/>
    </xf>
    <xf numFmtId="0" fontId="12" fillId="0" borderId="0" xfId="2" applyFont="1" applyAlignment="1">
      <alignment horizontal="right" vertical="center"/>
    </xf>
    <xf numFmtId="0" fontId="23" fillId="0" borderId="0" xfId="0" applyFont="1" applyAlignment="1" applyProtection="1">
      <alignment vertical="center"/>
      <protection hidden="1"/>
    </xf>
    <xf numFmtId="175" fontId="12" fillId="0" borderId="7" xfId="0" applyNumberFormat="1" applyFont="1" applyBorder="1" applyAlignment="1" applyProtection="1">
      <alignment horizontal="left" vertical="center"/>
      <protection hidden="1"/>
    </xf>
    <xf numFmtId="172" fontId="12" fillId="0" borderId="7" xfId="0" applyNumberFormat="1" applyFont="1" applyBorder="1" applyAlignment="1" applyProtection="1">
      <alignment horizontal="left" vertical="center"/>
      <protection hidden="1"/>
    </xf>
    <xf numFmtId="0" fontId="8" fillId="0" borderId="2" xfId="0" applyFont="1" applyBorder="1" applyProtection="1">
      <protection hidden="1"/>
    </xf>
    <xf numFmtId="0" fontId="8" fillId="0" borderId="9" xfId="0" applyFont="1" applyBorder="1" applyProtection="1">
      <protection hidden="1"/>
    </xf>
    <xf numFmtId="0" fontId="9" fillId="0" borderId="0" xfId="0" applyFont="1" applyAlignment="1" applyProtection="1">
      <alignment horizontal="center" vertical="center"/>
      <protection hidden="1"/>
    </xf>
    <xf numFmtId="167" fontId="17" fillId="0" borderId="10" xfId="0" quotePrefix="1" applyNumberFormat="1" applyFont="1" applyBorder="1" applyAlignment="1">
      <alignment vertical="center"/>
    </xf>
    <xf numFmtId="167" fontId="17" fillId="0" borderId="11" xfId="0" quotePrefix="1" applyNumberFormat="1" applyFont="1" applyBorder="1" applyAlignment="1">
      <alignment vertical="center"/>
    </xf>
    <xf numFmtId="167" fontId="17" fillId="0" borderId="12" xfId="0" quotePrefix="1" applyNumberFormat="1" applyFont="1" applyBorder="1" applyAlignment="1">
      <alignment vertical="center"/>
    </xf>
    <xf numFmtId="167" fontId="24" fillId="0" borderId="1" xfId="0" quotePrefix="1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 wrapText="1"/>
    </xf>
    <xf numFmtId="167" fontId="27" fillId="0" borderId="1" xfId="0" quotePrefix="1" applyNumberFormat="1" applyFont="1" applyBorder="1" applyAlignment="1">
      <alignment horizontal="center" vertical="center"/>
    </xf>
    <xf numFmtId="0" fontId="5" fillId="0" borderId="10" xfId="3" applyBorder="1" applyAlignment="1">
      <alignment vertical="center"/>
    </xf>
    <xf numFmtId="0" fontId="17" fillId="0" borderId="1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0" fillId="0" borderId="0" xfId="0" applyFont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2" fontId="17" fillId="0" borderId="1" xfId="0" quotePrefix="1" applyNumberFormat="1" applyFont="1" applyBorder="1" applyAlignment="1">
      <alignment horizontal="center" vertical="center"/>
    </xf>
    <xf numFmtId="2" fontId="17" fillId="0" borderId="1" xfId="3" applyNumberFormat="1" applyFont="1" applyBorder="1" applyAlignment="1">
      <alignment horizontal="center" vertical="center"/>
    </xf>
    <xf numFmtId="2" fontId="27" fillId="0" borderId="1" xfId="3" applyNumberFormat="1" applyFont="1" applyBorder="1" applyAlignment="1">
      <alignment horizontal="center" vertical="center"/>
    </xf>
    <xf numFmtId="164" fontId="17" fillId="0" borderId="1" xfId="0" quotePrefix="1" applyNumberFormat="1" applyFont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0" fontId="25" fillId="0" borderId="0" xfId="0" applyFont="1" applyAlignment="1">
      <alignment vertical="center"/>
    </xf>
    <xf numFmtId="164" fontId="28" fillId="0" borderId="0" xfId="0" applyNumberFormat="1" applyFont="1" applyAlignment="1">
      <alignment horizontal="center" vertical="center"/>
    </xf>
    <xf numFmtId="0" fontId="0" fillId="0" borderId="7" xfId="0" applyBorder="1"/>
    <xf numFmtId="164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2" fillId="0" borderId="6" xfId="0" applyFont="1" applyBorder="1"/>
    <xf numFmtId="0" fontId="32" fillId="0" borderId="8" xfId="0" applyFont="1" applyBorder="1"/>
    <xf numFmtId="0" fontId="32" fillId="0" borderId="0" xfId="0" applyFont="1"/>
    <xf numFmtId="0" fontId="33" fillId="0" borderId="0" xfId="4" applyFont="1" applyAlignment="1" applyProtection="1">
      <alignment horizontal="left" vertical="center"/>
      <protection hidden="1"/>
    </xf>
    <xf numFmtId="2" fontId="9" fillId="2" borderId="4" xfId="0" applyNumberFormat="1" applyFont="1" applyFill="1" applyBorder="1" applyAlignment="1" applyProtection="1">
      <alignment horizontal="left" vertical="center"/>
      <protection hidden="1"/>
    </xf>
    <xf numFmtId="0" fontId="9" fillId="2" borderId="3" xfId="0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Protection="1">
      <protection hidden="1"/>
    </xf>
    <xf numFmtId="0" fontId="5" fillId="2" borderId="4" xfId="0" applyFont="1" applyFill="1" applyBorder="1" applyProtection="1">
      <protection hidden="1"/>
    </xf>
    <xf numFmtId="0" fontId="5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9" fillId="2" borderId="6" xfId="0" applyNumberFormat="1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" fillId="2" borderId="0" xfId="0" applyFont="1" applyFill="1" applyProtection="1">
      <protection hidden="1"/>
    </xf>
    <xf numFmtId="0" fontId="5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5" fillId="2" borderId="6" xfId="0" applyFont="1" applyFill="1" applyBorder="1" applyAlignment="1" applyProtection="1">
      <alignment vertical="center"/>
      <protection hidden="1"/>
    </xf>
    <xf numFmtId="0" fontId="5" fillId="2" borderId="6" xfId="0" applyFont="1" applyFill="1" applyBorder="1" applyProtection="1">
      <protection hidden="1"/>
    </xf>
    <xf numFmtId="0" fontId="9" fillId="2" borderId="8" xfId="0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Protection="1">
      <protection hidden="1"/>
    </xf>
    <xf numFmtId="0" fontId="5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5" fillId="0" borderId="0" xfId="0" applyFont="1" applyProtection="1">
      <protection hidden="1"/>
    </xf>
    <xf numFmtId="164" fontId="35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4" fillId="0" borderId="0" xfId="0" applyFont="1" applyProtection="1">
      <protection hidden="1"/>
    </xf>
    <xf numFmtId="0" fontId="45" fillId="0" borderId="0" xfId="0" applyFont="1" applyAlignment="1" applyProtection="1">
      <alignment horizontal="left" vertical="center"/>
      <protection hidden="1"/>
    </xf>
    <xf numFmtId="0" fontId="17" fillId="9" borderId="1" xfId="0" applyFont="1" applyFill="1" applyBorder="1" applyAlignment="1" applyProtection="1">
      <alignment horizontal="center" vertical="center"/>
      <protection hidden="1"/>
    </xf>
    <xf numFmtId="0" fontId="17" fillId="9" borderId="11" xfId="0" applyFont="1" applyFill="1" applyBorder="1" applyAlignment="1" applyProtection="1">
      <alignment horizontal="center" vertical="center"/>
      <protection hidden="1"/>
    </xf>
    <xf numFmtId="0" fontId="41" fillId="7" borderId="1" xfId="0" applyFont="1" applyFill="1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right" vertical="center"/>
      <protection hidden="1"/>
    </xf>
    <xf numFmtId="2" fontId="46" fillId="0" borderId="0" xfId="0" applyNumberFormat="1" applyFont="1" applyProtection="1">
      <protection hidden="1"/>
    </xf>
    <xf numFmtId="12" fontId="17" fillId="9" borderId="11" xfId="0" applyNumberFormat="1" applyFont="1" applyFill="1" applyBorder="1" applyAlignment="1" applyProtection="1">
      <alignment horizontal="center" vertical="center"/>
      <protection hidden="1"/>
    </xf>
    <xf numFmtId="2" fontId="45" fillId="0" borderId="0" xfId="0" applyNumberFormat="1" applyFont="1" applyAlignment="1" applyProtection="1">
      <alignment horizontal="right" vertical="center"/>
      <protection hidden="1"/>
    </xf>
    <xf numFmtId="2" fontId="9" fillId="0" borderId="0" xfId="0" applyNumberFormat="1" applyFont="1" applyAlignment="1" applyProtection="1">
      <alignment horizontal="right" vertical="center"/>
      <protection hidden="1"/>
    </xf>
    <xf numFmtId="0" fontId="47" fillId="7" borderId="1" xfId="0" applyFont="1" applyFill="1" applyBorder="1" applyAlignment="1" applyProtection="1">
      <alignment horizontal="center" vertical="center"/>
      <protection locked="0"/>
    </xf>
    <xf numFmtId="0" fontId="47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1" fillId="2" borderId="0" xfId="0" applyFont="1" applyFill="1" applyAlignment="1" applyProtection="1">
      <alignment horizontal="center" vertical="center"/>
      <protection hidden="1"/>
    </xf>
    <xf numFmtId="0" fontId="39" fillId="2" borderId="0" xfId="0" applyFont="1" applyFill="1" applyAlignment="1" applyProtection="1">
      <alignment horizontal="right" vertical="center"/>
      <protection hidden="1"/>
    </xf>
    <xf numFmtId="0" fontId="6" fillId="10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2" fontId="37" fillId="2" borderId="0" xfId="0" applyNumberFormat="1" applyFont="1" applyFill="1" applyAlignment="1" applyProtection="1">
      <alignment horizontal="right" vertical="center"/>
      <protection locked="0"/>
    </xf>
    <xf numFmtId="10" fontId="5" fillId="10" borderId="1" xfId="0" applyNumberFormat="1" applyFont="1" applyFill="1" applyBorder="1" applyAlignment="1" applyProtection="1">
      <alignment horizontal="center" vertical="center"/>
      <protection hidden="1"/>
    </xf>
    <xf numFmtId="2" fontId="37" fillId="0" borderId="0" xfId="0" applyNumberFormat="1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left" vertical="center" indent="2"/>
      <protection hidden="1"/>
    </xf>
    <xf numFmtId="0" fontId="17" fillId="0" borderId="0" xfId="0" applyFont="1" applyProtection="1">
      <protection hidden="1"/>
    </xf>
    <xf numFmtId="0" fontId="39" fillId="0" borderId="0" xfId="0" applyFont="1" applyAlignment="1" applyProtection="1">
      <alignment vertical="center"/>
      <protection hidden="1"/>
    </xf>
    <xf numFmtId="11" fontId="36" fillId="2" borderId="10" xfId="0" applyNumberFormat="1" applyFont="1" applyFill="1" applyBorder="1" applyAlignment="1" applyProtection="1">
      <alignment horizontal="center" vertical="center"/>
      <protection hidden="1"/>
    </xf>
    <xf numFmtId="2" fontId="50" fillId="0" borderId="1" xfId="0" applyNumberFormat="1" applyFont="1" applyBorder="1" applyAlignment="1" applyProtection="1">
      <alignment horizontal="center"/>
      <protection hidden="1"/>
    </xf>
    <xf numFmtId="2" fontId="51" fillId="0" borderId="1" xfId="0" quotePrefix="1" applyNumberFormat="1" applyFont="1" applyBorder="1" applyAlignment="1">
      <alignment horizontal="center" vertical="center"/>
    </xf>
    <xf numFmtId="164" fontId="52" fillId="0" borderId="1" xfId="0" quotePrefix="1" applyNumberFormat="1" applyFont="1" applyBorder="1" applyAlignment="1">
      <alignment horizontal="center" vertical="center"/>
    </xf>
    <xf numFmtId="0" fontId="22" fillId="3" borderId="0" xfId="0" applyFont="1" applyFill="1" applyAlignment="1" applyProtection="1">
      <alignment vertical="center" wrapText="1"/>
      <protection hidden="1"/>
    </xf>
    <xf numFmtId="164" fontId="42" fillId="0" borderId="0" xfId="0" applyNumberFormat="1" applyFont="1" applyAlignment="1" applyProtection="1">
      <alignment horizontal="center" vertical="center"/>
      <protection hidden="1"/>
    </xf>
    <xf numFmtId="2" fontId="37" fillId="5" borderId="0" xfId="0" applyNumberFormat="1" applyFont="1" applyFill="1" applyAlignment="1" applyProtection="1">
      <alignment horizontal="center" vertical="center"/>
      <protection locked="0"/>
    </xf>
    <xf numFmtId="2" fontId="38" fillId="6" borderId="0" xfId="0" applyNumberFormat="1" applyFont="1" applyFill="1" applyAlignment="1" applyProtection="1">
      <alignment vertical="center"/>
      <protection locked="0"/>
    </xf>
    <xf numFmtId="164" fontId="40" fillId="0" borderId="0" xfId="0" applyNumberFormat="1" applyFont="1" applyAlignment="1" applyProtection="1">
      <alignment horizontal="center"/>
      <protection hidden="1"/>
    </xf>
    <xf numFmtId="2" fontId="40" fillId="7" borderId="0" xfId="0" applyNumberFormat="1" applyFont="1" applyFill="1" applyProtection="1">
      <protection hidden="1"/>
    </xf>
    <xf numFmtId="2" fontId="53" fillId="2" borderId="0" xfId="0" applyNumberFormat="1" applyFont="1" applyFill="1" applyAlignment="1" applyProtection="1">
      <alignment horizontal="right" vertical="center"/>
      <protection locked="0"/>
    </xf>
    <xf numFmtId="164" fontId="54" fillId="7" borderId="20" xfId="0" applyNumberFormat="1" applyFont="1" applyFill="1" applyBorder="1" applyAlignment="1" applyProtection="1">
      <alignment horizontal="center" vertical="center"/>
      <protection hidden="1"/>
    </xf>
    <xf numFmtId="0" fontId="55" fillId="7" borderId="1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Protection="1">
      <protection hidden="1"/>
    </xf>
    <xf numFmtId="167" fontId="39" fillId="0" borderId="10" xfId="0" quotePrefix="1" applyNumberFormat="1" applyFont="1" applyBorder="1" applyAlignment="1">
      <alignment vertical="center"/>
    </xf>
    <xf numFmtId="0" fontId="7" fillId="0" borderId="11" xfId="0" applyFont="1" applyBorder="1" applyProtection="1">
      <protection hidden="1"/>
    </xf>
    <xf numFmtId="167" fontId="39" fillId="0" borderId="11" xfId="0" quotePrefix="1" applyNumberFormat="1" applyFont="1" applyBorder="1" applyAlignment="1">
      <alignment vertical="center"/>
    </xf>
    <xf numFmtId="167" fontId="39" fillId="0" borderId="12" xfId="0" quotePrefix="1" applyNumberFormat="1" applyFont="1" applyBorder="1" applyAlignment="1">
      <alignment vertical="center"/>
    </xf>
    <xf numFmtId="167" fontId="48" fillId="0" borderId="1" xfId="0" quotePrefix="1" applyNumberFormat="1" applyFont="1" applyBorder="1" applyAlignment="1">
      <alignment horizontal="center" vertical="center" wrapText="1"/>
    </xf>
    <xf numFmtId="1" fontId="39" fillId="0" borderId="1" xfId="0" quotePrefix="1" applyNumberFormat="1" applyFont="1" applyBorder="1" applyAlignment="1">
      <alignment horizontal="center" vertical="center"/>
    </xf>
    <xf numFmtId="0" fontId="9" fillId="0" borderId="6" xfId="0" applyFont="1" applyBorder="1" applyAlignment="1" applyProtection="1">
      <alignment vertical="center"/>
      <protection hidden="1"/>
    </xf>
    <xf numFmtId="0" fontId="58" fillId="0" borderId="0" xfId="0" applyFont="1"/>
    <xf numFmtId="0" fontId="1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indent="1"/>
      <protection hidden="1"/>
    </xf>
    <xf numFmtId="0" fontId="12" fillId="0" borderId="6" xfId="2" applyFont="1" applyBorder="1" applyAlignment="1">
      <alignment horizontal="left" vertical="center" indent="1"/>
    </xf>
    <xf numFmtId="0" fontId="12" fillId="0" borderId="0" xfId="0" applyFont="1" applyAlignment="1" applyProtection="1">
      <alignment horizontal="left" vertical="center" indent="1"/>
      <protection hidden="1"/>
    </xf>
    <xf numFmtId="0" fontId="12" fillId="0" borderId="8" xfId="2" applyFont="1" applyBorder="1" applyAlignment="1">
      <alignment vertical="center"/>
    </xf>
    <xf numFmtId="0" fontId="12" fillId="0" borderId="2" xfId="2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167" fontId="39" fillId="0" borderId="1" xfId="0" quotePrefix="1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24" fillId="0" borderId="0" xfId="4" applyFont="1" applyAlignment="1">
      <alignment vertical="center"/>
    </xf>
    <xf numFmtId="0" fontId="24" fillId="0" borderId="0" xfId="4" applyFont="1" applyAlignment="1">
      <alignment horizontal="center" vertical="center"/>
    </xf>
    <xf numFmtId="0" fontId="48" fillId="0" borderId="0" xfId="4" applyFont="1" applyAlignment="1" applyProtection="1">
      <alignment horizontal="center" vertical="center"/>
      <protection hidden="1"/>
    </xf>
    <xf numFmtId="0" fontId="48" fillId="0" borderId="0" xfId="4" applyFont="1" applyAlignment="1" applyProtection="1">
      <alignment horizontal="left" vertical="center"/>
      <protection hidden="1"/>
    </xf>
    <xf numFmtId="0" fontId="24" fillId="0" borderId="0" xfId="4" applyFont="1" applyAlignment="1" applyProtection="1">
      <alignment horizontal="left" vertical="center" indent="1"/>
      <protection hidden="1"/>
    </xf>
    <xf numFmtId="0" fontId="17" fillId="0" borderId="0" xfId="0" applyFont="1" applyAlignment="1">
      <alignment horizontal="left" indent="1"/>
    </xf>
    <xf numFmtId="0" fontId="48" fillId="0" borderId="1" xfId="4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Protection="1">
      <protection hidden="1"/>
    </xf>
    <xf numFmtId="0" fontId="14" fillId="0" borderId="3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" fillId="0" borderId="7" xfId="0" applyFont="1" applyBorder="1" applyProtection="1">
      <protection hidden="1"/>
    </xf>
    <xf numFmtId="0" fontId="5" fillId="2" borderId="7" xfId="3" applyFill="1" applyBorder="1"/>
    <xf numFmtId="0" fontId="5" fillId="2" borderId="0" xfId="3" applyFill="1"/>
    <xf numFmtId="0" fontId="5" fillId="2" borderId="12" xfId="3" applyFill="1" applyBorder="1"/>
    <xf numFmtId="0" fontId="64" fillId="2" borderId="11" xfId="3" applyFont="1" applyFill="1" applyBorder="1" applyAlignment="1">
      <alignment vertical="center"/>
    </xf>
    <xf numFmtId="0" fontId="64" fillId="2" borderId="10" xfId="3" applyFont="1" applyFill="1" applyBorder="1" applyAlignment="1">
      <alignment horizontal="left" vertical="center" indent="1"/>
    </xf>
    <xf numFmtId="0" fontId="12" fillId="0" borderId="0" xfId="2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2" fontId="12" fillId="0" borderId="0" xfId="0" applyNumberFormat="1" applyFont="1" applyAlignment="1" applyProtection="1">
      <alignment horizontal="left" vertical="center"/>
      <protection locked="0"/>
    </xf>
    <xf numFmtId="0" fontId="22" fillId="0" borderId="0" xfId="2" applyFont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left" vertical="center" wrapText="1"/>
      <protection locked="0"/>
    </xf>
    <xf numFmtId="17" fontId="12" fillId="0" borderId="5" xfId="0" applyNumberFormat="1" applyFont="1" applyBorder="1" applyAlignment="1" applyProtection="1">
      <alignment vertical="center"/>
      <protection locked="0"/>
    </xf>
    <xf numFmtId="175" fontId="12" fillId="0" borderId="7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164" fontId="29" fillId="0" borderId="0" xfId="0" applyNumberFormat="1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>
      <alignment vertical="center"/>
    </xf>
    <xf numFmtId="0" fontId="25" fillId="0" borderId="4" xfId="2" applyFont="1" applyBorder="1" applyAlignment="1">
      <alignment horizontal="left" vertical="center" wrapText="1"/>
    </xf>
    <xf numFmtId="0" fontId="25" fillId="0" borderId="3" xfId="2" applyFont="1" applyBorder="1" applyAlignment="1">
      <alignment horizontal="left" vertical="center" wrapText="1"/>
    </xf>
    <xf numFmtId="0" fontId="48" fillId="0" borderId="0" xfId="4" applyFont="1" applyAlignment="1">
      <alignment horizontal="center" vertical="center"/>
    </xf>
    <xf numFmtId="0" fontId="48" fillId="0" borderId="0" xfId="4" applyFont="1" applyAlignment="1">
      <alignment horizontal="left" vertical="center"/>
    </xf>
    <xf numFmtId="0" fontId="24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64" fillId="2" borderId="10" xfId="0" applyFont="1" applyFill="1" applyBorder="1" applyAlignment="1">
      <alignment horizontal="left" vertical="center" indent="1"/>
    </xf>
    <xf numFmtId="0" fontId="24" fillId="0" borderId="0" xfId="4" quotePrefix="1" applyFont="1" applyAlignment="1">
      <alignment horizontal="left" vertical="center"/>
    </xf>
    <xf numFmtId="0" fontId="5" fillId="2" borderId="0" xfId="0" applyFont="1" applyFill="1" applyAlignment="1" applyProtection="1">
      <alignment vertical="center"/>
      <protection locked="0"/>
    </xf>
    <xf numFmtId="0" fontId="12" fillId="0" borderId="2" xfId="2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77" fontId="5" fillId="2" borderId="0" xfId="0" applyNumberFormat="1" applyFont="1" applyFill="1" applyAlignment="1">
      <alignment horizontal="center"/>
    </xf>
    <xf numFmtId="0" fontId="66" fillId="2" borderId="1" xfId="3" applyFont="1" applyFill="1" applyBorder="1" applyAlignment="1">
      <alignment horizontal="left"/>
    </xf>
    <xf numFmtId="0" fontId="66" fillId="2" borderId="1" xfId="3" applyFont="1" applyFill="1" applyBorder="1"/>
    <xf numFmtId="0" fontId="6" fillId="2" borderId="0" xfId="3" applyFont="1" applyFill="1" applyAlignment="1">
      <alignment horizontal="left"/>
    </xf>
    <xf numFmtId="0" fontId="6" fillId="2" borderId="0" xfId="3" applyFont="1" applyFill="1"/>
    <xf numFmtId="0" fontId="6" fillId="2" borderId="1" xfId="3" applyFont="1" applyFill="1" applyBorder="1"/>
    <xf numFmtId="0" fontId="5" fillId="2" borderId="1" xfId="3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164" fontId="5" fillId="2" borderId="0" xfId="3" applyNumberFormat="1" applyFill="1"/>
    <xf numFmtId="179" fontId="5" fillId="2" borderId="1" xfId="3" applyNumberFormat="1" applyFill="1" applyBorder="1" applyAlignment="1">
      <alignment horizontal="center"/>
    </xf>
    <xf numFmtId="2" fontId="5" fillId="2" borderId="12" xfId="3" applyNumberFormat="1" applyFill="1" applyBorder="1" applyAlignment="1">
      <alignment horizontal="center"/>
    </xf>
    <xf numFmtId="0" fontId="5" fillId="2" borderId="4" xfId="3" applyFill="1" applyBorder="1"/>
    <xf numFmtId="0" fontId="5" fillId="2" borderId="3" xfId="3" applyFill="1" applyBorder="1"/>
    <xf numFmtId="0" fontId="5" fillId="2" borderId="5" xfId="3" applyFill="1" applyBorder="1"/>
    <xf numFmtId="0" fontId="5" fillId="2" borderId="6" xfId="3" applyFill="1" applyBorder="1"/>
    <xf numFmtId="0" fontId="5" fillId="2" borderId="0" xfId="3" applyFill="1" applyAlignment="1" applyProtection="1">
      <alignment horizontal="center" vertical="center"/>
      <protection locked="0"/>
    </xf>
    <xf numFmtId="0" fontId="5" fillId="2" borderId="8" xfId="3" applyFill="1" applyBorder="1"/>
    <xf numFmtId="0" fontId="5" fillId="2" borderId="2" xfId="3" applyFill="1" applyBorder="1"/>
    <xf numFmtId="0" fontId="5" fillId="2" borderId="9" xfId="3" applyFill="1" applyBorder="1"/>
    <xf numFmtId="0" fontId="60" fillId="2" borderId="1" xfId="6" applyFont="1" applyFill="1" applyBorder="1" applyAlignment="1">
      <alignment horizontal="center" vertical="center"/>
    </xf>
    <xf numFmtId="180" fontId="60" fillId="2" borderId="1" xfId="6" quotePrefix="1" applyNumberFormat="1" applyFont="1" applyFill="1" applyBorder="1" applyAlignment="1">
      <alignment horizontal="center" vertical="center"/>
    </xf>
    <xf numFmtId="14" fontId="60" fillId="2" borderId="1" xfId="6" applyNumberFormat="1" applyFont="1" applyFill="1" applyBorder="1" applyAlignment="1">
      <alignment horizontal="center" vertical="center"/>
    </xf>
    <xf numFmtId="0" fontId="63" fillId="2" borderId="10" xfId="3" applyFont="1" applyFill="1" applyBorder="1" applyAlignment="1">
      <alignment vertical="center"/>
    </xf>
    <xf numFmtId="0" fontId="63" fillId="2" borderId="10" xfId="3" applyFont="1" applyFill="1" applyBorder="1" applyAlignment="1">
      <alignment vertical="center" wrapText="1"/>
    </xf>
    <xf numFmtId="0" fontId="17" fillId="2" borderId="1" xfId="3" applyFont="1" applyFill="1" applyBorder="1" applyAlignment="1" applyProtection="1">
      <alignment horizontal="center" vertical="center"/>
      <protection hidden="1"/>
    </xf>
    <xf numFmtId="177" fontId="17" fillId="2" borderId="1" xfId="3" applyNumberFormat="1" applyFont="1" applyFill="1" applyBorder="1" applyAlignment="1" applyProtection="1">
      <alignment horizontal="center" vertical="center"/>
      <protection hidden="1"/>
    </xf>
    <xf numFmtId="177" fontId="17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2" xfId="0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center" vertical="center"/>
    </xf>
    <xf numFmtId="2" fontId="17" fillId="2" borderId="1" xfId="3" applyNumberFormat="1" applyFont="1" applyFill="1" applyBorder="1" applyAlignment="1" applyProtection="1">
      <alignment vertical="center"/>
      <protection hidden="1"/>
    </xf>
    <xf numFmtId="177" fontId="17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2" fontId="17" fillId="2" borderId="1" xfId="0" applyNumberFormat="1" applyFont="1" applyFill="1" applyBorder="1" applyAlignment="1" applyProtection="1">
      <alignment vertical="center"/>
      <protection hidden="1"/>
    </xf>
    <xf numFmtId="2" fontId="17" fillId="2" borderId="1" xfId="3" applyNumberFormat="1" applyFont="1" applyFill="1" applyBorder="1" applyAlignment="1" applyProtection="1">
      <alignment horizontal="left" vertical="center"/>
      <protection hidden="1"/>
    </xf>
    <xf numFmtId="0" fontId="17" fillId="2" borderId="28" xfId="3" applyFont="1" applyFill="1" applyBorder="1" applyAlignment="1">
      <alignment vertical="center" wrapText="1"/>
    </xf>
    <xf numFmtId="0" fontId="12" fillId="2" borderId="20" xfId="3" applyFont="1" applyFill="1" applyBorder="1" applyAlignment="1">
      <alignment vertical="center" wrapText="1"/>
    </xf>
    <xf numFmtId="177" fontId="17" fillId="2" borderId="31" xfId="3" quotePrefix="1" applyNumberFormat="1" applyFont="1" applyFill="1" applyBorder="1" applyAlignment="1" applyProtection="1">
      <alignment horizontal="center" vertical="center" wrapText="1"/>
      <protection hidden="1"/>
    </xf>
    <xf numFmtId="2" fontId="17" fillId="12" borderId="1" xfId="3" applyNumberFormat="1" applyFont="1" applyFill="1" applyBorder="1" applyAlignment="1" applyProtection="1">
      <alignment horizontal="center" vertical="center"/>
      <protection locked="0" hidden="1"/>
    </xf>
    <xf numFmtId="2" fontId="17" fillId="12" borderId="1" xfId="3" quotePrefix="1" applyNumberFormat="1" applyFont="1" applyFill="1" applyBorder="1" applyAlignment="1" applyProtection="1">
      <alignment horizontal="center" vertical="center"/>
      <protection hidden="1"/>
    </xf>
    <xf numFmtId="177" fontId="17" fillId="12" borderId="1" xfId="3" quotePrefix="1" applyNumberFormat="1" applyFont="1" applyFill="1" applyBorder="1" applyAlignment="1" applyProtection="1">
      <alignment horizontal="center" vertical="center"/>
      <protection hidden="1"/>
    </xf>
    <xf numFmtId="178" fontId="17" fillId="12" borderId="1" xfId="3" applyNumberFormat="1" applyFont="1" applyFill="1" applyBorder="1" applyAlignment="1" applyProtection="1">
      <alignment horizontal="center" vertical="center" wrapText="1"/>
      <protection hidden="1"/>
    </xf>
    <xf numFmtId="11" fontId="17" fillId="12" borderId="1" xfId="3" applyNumberFormat="1" applyFont="1" applyFill="1" applyBorder="1" applyAlignment="1" applyProtection="1">
      <alignment horizontal="center" vertical="center"/>
      <protection hidden="1"/>
    </xf>
    <xf numFmtId="0" fontId="17" fillId="12" borderId="1" xfId="3" applyFont="1" applyFill="1" applyBorder="1" applyAlignment="1" applyProtection="1">
      <alignment horizontal="center" vertical="center"/>
      <protection hidden="1"/>
    </xf>
    <xf numFmtId="179" fontId="17" fillId="12" borderId="1" xfId="3" quotePrefix="1" applyNumberFormat="1" applyFont="1" applyFill="1" applyBorder="1" applyAlignment="1" applyProtection="1">
      <alignment horizontal="center" vertical="center"/>
      <protection hidden="1"/>
    </xf>
    <xf numFmtId="0" fontId="5" fillId="12" borderId="25" xfId="3" applyFill="1" applyBorder="1" applyAlignment="1">
      <alignment horizontal="center" vertical="center"/>
    </xf>
    <xf numFmtId="0" fontId="5" fillId="12" borderId="26" xfId="3" applyFill="1" applyBorder="1" applyAlignment="1">
      <alignment horizontal="center" vertical="center"/>
    </xf>
    <xf numFmtId="0" fontId="5" fillId="12" borderId="26" xfId="3" applyFill="1" applyBorder="1" applyAlignment="1">
      <alignment horizontal="center" vertical="center" wrapText="1"/>
    </xf>
    <xf numFmtId="0" fontId="5" fillId="12" borderId="27" xfId="3" applyFill="1" applyBorder="1" applyAlignment="1">
      <alignment horizontal="center" vertical="center" wrapText="1"/>
    </xf>
    <xf numFmtId="11" fontId="17" fillId="2" borderId="17" xfId="3" applyNumberFormat="1" applyFont="1" applyFill="1" applyBorder="1" applyAlignment="1" applyProtection="1">
      <alignment vertical="center"/>
      <protection hidden="1"/>
    </xf>
    <xf numFmtId="11" fontId="17" fillId="2" borderId="1" xfId="3" applyNumberFormat="1" applyFont="1" applyFill="1" applyBorder="1" applyAlignment="1" applyProtection="1">
      <alignment vertical="center"/>
      <protection hidden="1"/>
    </xf>
    <xf numFmtId="177" fontId="17" fillId="2" borderId="1" xfId="3" applyNumberFormat="1" applyFont="1" applyFill="1" applyBorder="1" applyAlignment="1" applyProtection="1">
      <alignment vertical="center"/>
      <protection hidden="1"/>
    </xf>
    <xf numFmtId="0" fontId="39" fillId="11" borderId="1" xfId="0" applyFont="1" applyFill="1" applyBorder="1" applyAlignment="1">
      <alignment horizontal="center" vertical="center" wrapText="1"/>
    </xf>
    <xf numFmtId="0" fontId="17" fillId="11" borderId="10" xfId="0" applyFont="1" applyFill="1" applyBorder="1" applyAlignment="1">
      <alignment horizontal="right" vertical="center" wrapText="1"/>
    </xf>
    <xf numFmtId="0" fontId="17" fillId="11" borderId="4" xfId="3" applyFont="1" applyFill="1" applyBorder="1" applyAlignment="1">
      <alignment vertical="center" wrapText="1"/>
    </xf>
    <xf numFmtId="2" fontId="17" fillId="11" borderId="17" xfId="0" applyNumberFormat="1" applyFont="1" applyFill="1" applyBorder="1" applyAlignment="1">
      <alignment horizontal="center" vertical="center" wrapText="1"/>
    </xf>
    <xf numFmtId="0" fontId="17" fillId="11" borderId="10" xfId="3" applyFont="1" applyFill="1" applyBorder="1" applyAlignment="1">
      <alignment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0" fontId="17" fillId="11" borderId="8" xfId="3" applyFont="1" applyFill="1" applyBorder="1" applyAlignment="1">
      <alignment vertical="center" wrapText="1"/>
    </xf>
    <xf numFmtId="0" fontId="17" fillId="11" borderId="2" xfId="3" applyFont="1" applyFill="1" applyBorder="1" applyAlignment="1">
      <alignment vertical="center" wrapText="1"/>
    </xf>
    <xf numFmtId="11" fontId="17" fillId="11" borderId="18" xfId="3" applyNumberFormat="1" applyFont="1" applyFill="1" applyBorder="1" applyAlignment="1">
      <alignment vertical="center" wrapText="1"/>
    </xf>
    <xf numFmtId="0" fontId="5" fillId="2" borderId="10" xfId="3" applyFill="1" applyBorder="1"/>
    <xf numFmtId="0" fontId="5" fillId="2" borderId="12" xfId="3" applyFill="1" applyBorder="1" applyAlignment="1">
      <alignment horizontal="right" vertical="center" indent="1"/>
    </xf>
    <xf numFmtId="0" fontId="5" fillId="2" borderId="7" xfId="3" applyFill="1" applyBorder="1" applyAlignment="1">
      <alignment horizontal="right" vertical="center" indent="1"/>
    </xf>
    <xf numFmtId="0" fontId="66" fillId="2" borderId="4" xfId="3" applyFont="1" applyFill="1" applyBorder="1"/>
    <xf numFmtId="0" fontId="6" fillId="2" borderId="6" xfId="3" applyFont="1" applyFill="1" applyBorder="1" applyAlignment="1">
      <alignment vertical="center"/>
    </xf>
    <xf numFmtId="164" fontId="17" fillId="2" borderId="29" xfId="3" quotePrefix="1" applyNumberFormat="1" applyFont="1" applyFill="1" applyBorder="1" applyAlignment="1" applyProtection="1">
      <alignment horizontal="center" vertical="center"/>
      <protection locked="0"/>
    </xf>
    <xf numFmtId="0" fontId="17" fillId="2" borderId="29" xfId="3" quotePrefix="1" applyFont="1" applyFill="1" applyBorder="1" applyAlignment="1">
      <alignment horizontal="center" vertical="center" wrapText="1"/>
    </xf>
    <xf numFmtId="0" fontId="17" fillId="2" borderId="30" xfId="3" quotePrefix="1" applyFont="1" applyFill="1" applyBorder="1" applyAlignment="1">
      <alignment horizontal="center" vertical="center" wrapText="1"/>
    </xf>
    <xf numFmtId="0" fontId="17" fillId="12" borderId="20" xfId="3" applyFont="1" applyFill="1" applyBorder="1" applyAlignment="1">
      <alignment vertical="center" wrapText="1"/>
    </xf>
    <xf numFmtId="178" fontId="17" fillId="12" borderId="31" xfId="3" applyNumberFormat="1" applyFont="1" applyFill="1" applyBorder="1" applyAlignment="1" applyProtection="1">
      <alignment horizontal="center" vertical="center" wrapText="1"/>
      <protection hidden="1"/>
    </xf>
    <xf numFmtId="177" fontId="17" fillId="12" borderId="31" xfId="3" applyNumberFormat="1" applyFont="1" applyFill="1" applyBorder="1" applyAlignment="1" applyProtection="1">
      <alignment horizontal="center" vertical="center"/>
      <protection hidden="1"/>
    </xf>
    <xf numFmtId="179" fontId="17" fillId="12" borderId="31" xfId="3" applyNumberFormat="1" applyFont="1" applyFill="1" applyBorder="1" applyAlignment="1" applyProtection="1">
      <alignment horizontal="center" vertical="center"/>
      <protection hidden="1"/>
    </xf>
    <xf numFmtId="0" fontId="17" fillId="12" borderId="32" xfId="3" applyFont="1" applyFill="1" applyBorder="1" applyAlignment="1">
      <alignment horizontal="left" vertical="center" wrapText="1"/>
    </xf>
    <xf numFmtId="177" fontId="17" fillId="12" borderId="33" xfId="3" quotePrefix="1" applyNumberFormat="1" applyFont="1" applyFill="1" applyBorder="1" applyAlignment="1" applyProtection="1">
      <alignment horizontal="center" vertical="center"/>
      <protection locked="0"/>
    </xf>
    <xf numFmtId="177" fontId="17" fillId="12" borderId="33" xfId="3" quotePrefix="1" applyNumberFormat="1" applyFont="1" applyFill="1" applyBorder="1" applyAlignment="1" applyProtection="1">
      <alignment horizontal="center" vertical="center"/>
      <protection hidden="1"/>
    </xf>
    <xf numFmtId="0" fontId="17" fillId="12" borderId="33" xfId="3" applyFont="1" applyFill="1" applyBorder="1" applyAlignment="1" applyProtection="1">
      <alignment horizontal="center" vertical="center"/>
      <protection hidden="1"/>
    </xf>
    <xf numFmtId="2" fontId="17" fillId="12" borderId="33" xfId="3" applyNumberFormat="1" applyFont="1" applyFill="1" applyBorder="1" applyAlignment="1" applyProtection="1">
      <alignment vertical="center"/>
      <protection hidden="1"/>
    </xf>
    <xf numFmtId="178" fontId="17" fillId="12" borderId="33" xfId="3" applyNumberFormat="1" applyFont="1" applyFill="1" applyBorder="1" applyAlignment="1" applyProtection="1">
      <alignment horizontal="center" vertical="center"/>
      <protection hidden="1"/>
    </xf>
    <xf numFmtId="177" fontId="17" fillId="12" borderId="33" xfId="3" quotePrefix="1" applyNumberFormat="1" applyFont="1" applyFill="1" applyBorder="1" applyAlignment="1" applyProtection="1">
      <alignment horizontal="center" vertical="center" wrapText="1"/>
      <protection hidden="1"/>
    </xf>
    <xf numFmtId="177" fontId="17" fillId="12" borderId="34" xfId="3" applyNumberFormat="1" applyFont="1" applyFill="1" applyBorder="1" applyAlignment="1">
      <alignment horizontal="center" vertical="center"/>
    </xf>
    <xf numFmtId="2" fontId="17" fillId="2" borderId="29" xfId="3" applyNumberFormat="1" applyFont="1" applyFill="1" applyBorder="1" applyAlignment="1">
      <alignment horizontal="center" vertical="center"/>
    </xf>
    <xf numFmtId="2" fontId="17" fillId="2" borderId="29" xfId="3" applyNumberFormat="1" applyFont="1" applyFill="1" applyBorder="1" applyAlignment="1">
      <alignment vertical="center"/>
    </xf>
    <xf numFmtId="2" fontId="17" fillId="2" borderId="33" xfId="3" applyNumberFormat="1" applyFont="1" applyFill="1" applyBorder="1" applyAlignment="1" applyProtection="1">
      <alignment vertical="center"/>
      <protection hidden="1"/>
    </xf>
    <xf numFmtId="17" fontId="36" fillId="2" borderId="0" xfId="0" applyNumberFormat="1" applyFont="1" applyFill="1" applyAlignment="1">
      <alignment horizontal="center"/>
    </xf>
    <xf numFmtId="1" fontId="5" fillId="2" borderId="1" xfId="4" applyNumberFormat="1" applyFill="1" applyBorder="1" applyAlignment="1">
      <alignment horizontal="center" vertical="center"/>
    </xf>
    <xf numFmtId="1" fontId="5" fillId="2" borderId="18" xfId="4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/>
    </xf>
    <xf numFmtId="164" fontId="5" fillId="2" borderId="0" xfId="0" applyNumberFormat="1" applyFont="1" applyFill="1"/>
    <xf numFmtId="0" fontId="5" fillId="2" borderId="0" xfId="4" applyFill="1"/>
    <xf numFmtId="0" fontId="5" fillId="2" borderId="1" xfId="0" applyFont="1" applyFill="1" applyBorder="1" applyAlignment="1">
      <alignment horizontal="center" wrapText="1"/>
    </xf>
    <xf numFmtId="0" fontId="60" fillId="2" borderId="0" xfId="0" applyFont="1" applyFill="1"/>
    <xf numFmtId="0" fontId="5" fillId="2" borderId="1" xfId="0" applyFont="1" applyFill="1" applyBorder="1" applyAlignment="1">
      <alignment vertical="center" wrapText="1"/>
    </xf>
    <xf numFmtId="0" fontId="63" fillId="2" borderId="0" xfId="0" applyFont="1" applyFill="1"/>
    <xf numFmtId="0" fontId="47" fillId="12" borderId="1" xfId="3" quotePrefix="1" applyFont="1" applyFill="1" applyBorder="1" applyAlignment="1" applyProtection="1">
      <alignment horizontal="center" vertical="center"/>
      <protection hidden="1"/>
    </xf>
    <xf numFmtId="0" fontId="5" fillId="2" borderId="11" xfId="3" applyFill="1" applyBorder="1"/>
    <xf numFmtId="179" fontId="5" fillId="2" borderId="1" xfId="3" applyNumberFormat="1" applyFill="1" applyBorder="1" applyAlignment="1">
      <alignment horizontal="left"/>
    </xf>
    <xf numFmtId="0" fontId="5" fillId="2" borderId="0" xfId="3" applyFill="1" applyAlignment="1">
      <alignment horizontal="left"/>
    </xf>
    <xf numFmtId="0" fontId="5" fillId="2" borderId="0" xfId="3" quotePrefix="1" applyFill="1" applyAlignment="1">
      <alignment horizontal="left"/>
    </xf>
    <xf numFmtId="0" fontId="73" fillId="0" borderId="0" xfId="4" applyFont="1" applyAlignment="1">
      <alignment horizontal="left" vertical="center"/>
    </xf>
    <xf numFmtId="177" fontId="17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17" fillId="2" borderId="1" xfId="3" applyNumberFormat="1" applyFont="1" applyFill="1" applyBorder="1" applyAlignment="1" applyProtection="1">
      <alignment horizontal="center" vertical="center"/>
      <protection locked="0"/>
    </xf>
    <xf numFmtId="178" fontId="17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5" fillId="2" borderId="12" xfId="3" applyFill="1" applyBorder="1" applyAlignment="1">
      <alignment horizontal="left"/>
    </xf>
    <xf numFmtId="0" fontId="24" fillId="0" borderId="42" xfId="4" quotePrefix="1" applyFont="1" applyBorder="1" applyAlignment="1" applyProtection="1">
      <alignment horizontal="left" vertical="center"/>
      <protection locked="0"/>
    </xf>
    <xf numFmtId="0" fontId="22" fillId="0" borderId="0" xfId="2" applyFont="1" applyAlignment="1">
      <alignment horizontal="left" vertical="center"/>
    </xf>
    <xf numFmtId="0" fontId="67" fillId="12" borderId="1" xfId="3" applyFont="1" applyFill="1" applyBorder="1" applyAlignment="1" applyProtection="1">
      <alignment horizontal="center" vertical="center"/>
      <protection locked="0"/>
    </xf>
    <xf numFmtId="164" fontId="69" fillId="2" borderId="1" xfId="3" applyNumberFormat="1" applyFont="1" applyFill="1" applyBorder="1" applyAlignment="1" applyProtection="1">
      <alignment horizontal="center"/>
      <protection locked="0"/>
    </xf>
    <xf numFmtId="0" fontId="74" fillId="2" borderId="1" xfId="3" applyFont="1" applyFill="1" applyBorder="1" applyAlignment="1" applyProtection="1">
      <alignment horizontal="center"/>
      <protection locked="0"/>
    </xf>
    <xf numFmtId="177" fontId="72" fillId="2" borderId="1" xfId="0" applyNumberFormat="1" applyFont="1" applyFill="1" applyBorder="1" applyAlignment="1">
      <alignment horizontal="center" vertical="center"/>
    </xf>
    <xf numFmtId="2" fontId="72" fillId="2" borderId="1" xfId="3" applyNumberFormat="1" applyFont="1" applyFill="1" applyBorder="1" applyAlignment="1" applyProtection="1">
      <alignment horizontal="center" vertical="center"/>
      <protection locked="0"/>
    </xf>
    <xf numFmtId="0" fontId="12" fillId="0" borderId="2" xfId="2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172" fontId="12" fillId="0" borderId="9" xfId="0" applyNumberFormat="1" applyFont="1" applyBorder="1" applyAlignment="1" applyProtection="1">
      <alignment horizontal="left" vertical="center"/>
      <protection locked="0"/>
    </xf>
    <xf numFmtId="166" fontId="8" fillId="0" borderId="0" xfId="0" applyNumberFormat="1" applyFont="1" applyAlignment="1" applyProtection="1">
      <alignment horizontal="left"/>
      <protection hidden="1"/>
    </xf>
    <xf numFmtId="3" fontId="1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4" fillId="0" borderId="0" xfId="4" applyFont="1" applyAlignment="1">
      <alignment horizontal="left" vertical="center" wrapText="1"/>
    </xf>
    <xf numFmtId="2" fontId="17" fillId="2" borderId="33" xfId="3" applyNumberFormat="1" applyFont="1" applyFill="1" applyBorder="1" applyAlignment="1" applyProtection="1">
      <alignment horizontal="center" vertical="center"/>
      <protection hidden="1"/>
    </xf>
    <xf numFmtId="179" fontId="5" fillId="2" borderId="1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2" fontId="24" fillId="0" borderId="0" xfId="0" applyNumberFormat="1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7" fillId="0" borderId="0" xfId="0" applyFont="1" applyAlignment="1">
      <alignment vertical="center"/>
    </xf>
    <xf numFmtId="0" fontId="23" fillId="0" borderId="2" xfId="0" applyFont="1" applyBorder="1" applyAlignment="1" applyProtection="1">
      <alignment vertical="center"/>
      <protection locked="0"/>
    </xf>
    <xf numFmtId="0" fontId="23" fillId="0" borderId="7" xfId="0" applyFont="1" applyBorder="1" applyAlignment="1">
      <alignment vertical="center"/>
    </xf>
    <xf numFmtId="0" fontId="40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60" fillId="0" borderId="0" xfId="0" applyFont="1" applyAlignment="1" applyProtection="1">
      <alignment vertical="center"/>
      <protection locked="0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23" fillId="0" borderId="42" xfId="0" applyFont="1" applyBorder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center"/>
      <protection locked="0"/>
    </xf>
    <xf numFmtId="2" fontId="46" fillId="0" borderId="0" xfId="0" applyNumberFormat="1" applyFont="1" applyAlignment="1" applyProtection="1">
      <alignment vertical="center"/>
      <protection locked="0"/>
    </xf>
    <xf numFmtId="0" fontId="5" fillId="0" borderId="1" xfId="3" applyBorder="1" applyAlignment="1">
      <alignment horizontal="center" vertical="center"/>
    </xf>
    <xf numFmtId="2" fontId="72" fillId="12" borderId="1" xfId="0" applyNumberFormat="1" applyFont="1" applyFill="1" applyBorder="1" applyAlignment="1" applyProtection="1">
      <alignment horizontal="center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  <protection locked="0"/>
    </xf>
    <xf numFmtId="2" fontId="76" fillId="2" borderId="15" xfId="0" applyNumberFormat="1" applyFont="1" applyFill="1" applyBorder="1" applyAlignment="1" applyProtection="1">
      <alignment horizontal="right" vertical="center"/>
      <protection locked="0"/>
    </xf>
    <xf numFmtId="2" fontId="75" fillId="0" borderId="15" xfId="0" applyNumberFormat="1" applyFont="1" applyBorder="1" applyAlignment="1" applyProtection="1">
      <alignment horizontal="right" vertical="center"/>
      <protection locked="0"/>
    </xf>
    <xf numFmtId="0" fontId="17" fillId="0" borderId="0" xfId="0" applyFont="1" applyAlignment="1" applyProtection="1">
      <alignment vertical="center"/>
      <protection locked="0"/>
    </xf>
    <xf numFmtId="2" fontId="46" fillId="0" borderId="15" xfId="0" applyNumberFormat="1" applyFont="1" applyBorder="1" applyAlignment="1" applyProtection="1">
      <alignment vertical="center"/>
      <protection locked="0"/>
    </xf>
    <xf numFmtId="0" fontId="39" fillId="11" borderId="0" xfId="3" applyFont="1" applyFill="1" applyAlignment="1">
      <alignment vertical="center" wrapText="1"/>
    </xf>
    <xf numFmtId="2" fontId="39" fillId="11" borderId="41" xfId="3" applyNumberFormat="1" applyFont="1" applyFill="1" applyBorder="1" applyAlignment="1">
      <alignment horizontal="center" vertical="center" wrapText="1"/>
    </xf>
    <xf numFmtId="0" fontId="5" fillId="2" borderId="0" xfId="3" applyFill="1" applyAlignment="1">
      <alignment vertical="center"/>
    </xf>
    <xf numFmtId="0" fontId="5" fillId="2" borderId="11" xfId="3" applyFill="1" applyBorder="1" applyAlignment="1">
      <alignment vertical="center"/>
    </xf>
    <xf numFmtId="0" fontId="5" fillId="2" borderId="12" xfId="3" applyFill="1" applyBorder="1" applyAlignment="1">
      <alignment vertical="center"/>
    </xf>
    <xf numFmtId="0" fontId="5" fillId="0" borderId="0" xfId="0" applyFont="1" applyAlignment="1">
      <alignment vertical="center"/>
    </xf>
    <xf numFmtId="0" fontId="17" fillId="2" borderId="0" xfId="3" applyFont="1" applyFill="1" applyAlignment="1">
      <alignment vertical="center"/>
    </xf>
    <xf numFmtId="0" fontId="17" fillId="2" borderId="1" xfId="3" applyFont="1" applyFill="1" applyBorder="1" applyAlignment="1">
      <alignment vertical="center"/>
    </xf>
    <xf numFmtId="0" fontId="66" fillId="2" borderId="0" xfId="3" applyFont="1" applyFill="1" applyAlignment="1">
      <alignment vertical="center"/>
    </xf>
    <xf numFmtId="0" fontId="17" fillId="2" borderId="3" xfId="3" applyFont="1" applyFill="1" applyBorder="1" applyAlignment="1" applyProtection="1">
      <alignment horizontal="right" vertical="center"/>
      <protection hidden="1"/>
    </xf>
    <xf numFmtId="0" fontId="17" fillId="2" borderId="11" xfId="3" applyFont="1" applyFill="1" applyBorder="1" applyAlignment="1" applyProtection="1">
      <alignment horizontal="right" vertical="center"/>
      <protection hidden="1"/>
    </xf>
    <xf numFmtId="0" fontId="5" fillId="0" borderId="0" xfId="4"/>
    <xf numFmtId="11" fontId="5" fillId="2" borderId="0" xfId="3" applyNumberFormat="1" applyFill="1" applyAlignment="1">
      <alignment horizontal="center"/>
    </xf>
    <xf numFmtId="15" fontId="5" fillId="2" borderId="0" xfId="0" applyNumberFormat="1" applyFont="1" applyFill="1" applyAlignment="1" applyProtection="1">
      <alignment horizontal="center"/>
      <protection locked="0"/>
    </xf>
    <xf numFmtId="164" fontId="72" fillId="2" borderId="1" xfId="3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5" fillId="2" borderId="0" xfId="3" applyFill="1" applyAlignment="1">
      <alignment horizontal="left" vertical="center" indent="1"/>
    </xf>
    <xf numFmtId="0" fontId="77" fillId="2" borderId="0" xfId="3" applyFont="1" applyFill="1" applyAlignment="1">
      <alignment vertical="center"/>
    </xf>
    <xf numFmtId="0" fontId="24" fillId="0" borderId="0" xfId="4" applyFont="1" applyAlignment="1" applyProtection="1">
      <alignment horizontal="center" vertical="center" wrapText="1"/>
      <protection locked="0"/>
    </xf>
    <xf numFmtId="0" fontId="59" fillId="0" borderId="0" xfId="4" applyFont="1" applyAlignment="1">
      <alignment horizontal="right" vertical="center"/>
    </xf>
    <xf numFmtId="0" fontId="17" fillId="0" borderId="0" xfId="4" quotePrefix="1" applyFont="1" applyAlignment="1">
      <alignment horizontal="left" vertical="center"/>
    </xf>
    <xf numFmtId="0" fontId="24" fillId="0" borderId="0" xfId="4" applyFont="1" applyAlignment="1">
      <alignment horizontal="left" vertical="center" indent="1"/>
    </xf>
    <xf numFmtId="2" fontId="69" fillId="2" borderId="1" xfId="3" applyNumberFormat="1" applyFont="1" applyFill="1" applyBorder="1" applyAlignment="1" applyProtection="1">
      <alignment horizontal="center"/>
      <protection locked="0"/>
    </xf>
    <xf numFmtId="0" fontId="69" fillId="2" borderId="1" xfId="3" applyFont="1" applyFill="1" applyBorder="1" applyAlignment="1" applyProtection="1">
      <alignment horizontal="center" vertical="center"/>
      <protection locked="0"/>
    </xf>
    <xf numFmtId="172" fontId="69" fillId="2" borderId="1" xfId="3" applyNumberFormat="1" applyFont="1" applyFill="1" applyBorder="1" applyAlignment="1" applyProtection="1">
      <alignment horizontal="center" vertical="center"/>
      <protection locked="0"/>
    </xf>
    <xf numFmtId="183" fontId="12" fillId="0" borderId="0" xfId="0" applyNumberFormat="1" applyFont="1" applyAlignment="1" applyProtection="1">
      <alignment horizontal="left" vertical="center"/>
      <protection locked="0"/>
    </xf>
    <xf numFmtId="0" fontId="25" fillId="0" borderId="6" xfId="2" applyFont="1" applyBorder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25" fillId="0" borderId="0" xfId="2" applyFont="1" applyAlignment="1">
      <alignment horizontal="left" vertical="center" wrapText="1"/>
    </xf>
    <xf numFmtId="0" fontId="25" fillId="0" borderId="0" xfId="2" applyFont="1" applyAlignment="1" applyProtection="1">
      <alignment vertical="center"/>
      <protection locked="0"/>
    </xf>
    <xf numFmtId="0" fontId="12" fillId="0" borderId="0" xfId="2" applyFont="1" applyAlignment="1">
      <alignment vertical="center"/>
    </xf>
    <xf numFmtId="183" fontId="12" fillId="0" borderId="7" xfId="0" applyNumberFormat="1" applyFont="1" applyBorder="1" applyAlignment="1" applyProtection="1">
      <alignment horizontal="left" vertical="center"/>
      <protection locked="0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6" fillId="0" borderId="1" xfId="3" applyFont="1" applyBorder="1" applyAlignment="1">
      <alignment horizontal="left" vertical="center"/>
    </xf>
    <xf numFmtId="14" fontId="5" fillId="0" borderId="1" xfId="3" applyNumberFormat="1" applyBorder="1" applyAlignment="1">
      <alignment horizontal="center" vertical="center"/>
    </xf>
    <xf numFmtId="0" fontId="6" fillId="0" borderId="23" xfId="0" applyFont="1" applyBorder="1" applyAlignment="1">
      <alignment vertical="center" wrapText="1"/>
    </xf>
    <xf numFmtId="2" fontId="6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vertical="center" wrapText="1"/>
    </xf>
    <xf numFmtId="0" fontId="6" fillId="2" borderId="23" xfId="0" applyFont="1" applyFill="1" applyBorder="1" applyAlignment="1" applyProtection="1">
      <alignment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11" fontId="5" fillId="2" borderId="0" xfId="0" applyNumberFormat="1" applyFont="1" applyFill="1" applyAlignment="1" applyProtection="1">
      <alignment horizontal="center" vertical="center"/>
      <protection locked="0"/>
    </xf>
    <xf numFmtId="14" fontId="6" fillId="2" borderId="23" xfId="0" applyNumberFormat="1" applyFont="1" applyFill="1" applyBorder="1" applyAlignment="1" applyProtection="1">
      <alignment vertical="center"/>
      <protection locked="0"/>
    </xf>
    <xf numFmtId="2" fontId="75" fillId="0" borderId="0" xfId="0" applyNumberFormat="1" applyFont="1" applyAlignment="1" applyProtection="1">
      <alignment horizontal="right" vertical="center"/>
      <protection locked="0"/>
    </xf>
    <xf numFmtId="2" fontId="6" fillId="0" borderId="0" xfId="0" applyNumberFormat="1" applyFont="1" applyAlignment="1" applyProtection="1">
      <alignment horizontal="right" vertical="center"/>
      <protection locked="0"/>
    </xf>
    <xf numFmtId="0" fontId="5" fillId="0" borderId="21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vertical="center"/>
      <protection locked="0"/>
    </xf>
    <xf numFmtId="167" fontId="5" fillId="0" borderId="0" xfId="0" quotePrefix="1" applyNumberFormat="1" applyFont="1" applyAlignment="1">
      <alignment vertical="center" wrapText="1"/>
    </xf>
    <xf numFmtId="0" fontId="5" fillId="0" borderId="22" xfId="0" applyFont="1" applyBorder="1" applyAlignment="1" applyProtection="1">
      <alignment vertical="center"/>
      <protection locked="0"/>
    </xf>
    <xf numFmtId="0" fontId="68" fillId="0" borderId="10" xfId="3" applyFont="1" applyBorder="1" applyAlignment="1">
      <alignment horizontal="left" vertical="center" indent="2"/>
    </xf>
    <xf numFmtId="0" fontId="5" fillId="0" borderId="11" xfId="0" applyFont="1" applyBorder="1" applyAlignment="1" applyProtection="1">
      <alignment vertical="center"/>
      <protection locked="0"/>
    </xf>
    <xf numFmtId="167" fontId="6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167" fontId="5" fillId="0" borderId="1" xfId="0" quotePrefix="1" applyNumberFormat="1" applyFont="1" applyBorder="1" applyAlignment="1">
      <alignment horizontal="center" vertical="center" wrapText="1"/>
    </xf>
    <xf numFmtId="167" fontId="5" fillId="0" borderId="10" xfId="0" quotePrefix="1" applyNumberFormat="1" applyFont="1" applyBorder="1" applyAlignment="1">
      <alignment horizontal="left" vertical="center" indent="1"/>
    </xf>
    <xf numFmtId="167" fontId="60" fillId="0" borderId="1" xfId="0" quotePrefix="1" applyNumberFormat="1" applyFont="1" applyBorder="1" applyAlignment="1">
      <alignment horizontal="center" vertical="center" wrapText="1"/>
    </xf>
    <xf numFmtId="167" fontId="6" fillId="0" borderId="0" xfId="0" quotePrefix="1" applyNumberFormat="1" applyFont="1" applyAlignment="1">
      <alignment vertical="center"/>
    </xf>
    <xf numFmtId="167" fontId="60" fillId="0" borderId="0" xfId="0" quotePrefix="1" applyNumberFormat="1" applyFont="1" applyAlignment="1">
      <alignment horizontal="center" vertical="center" wrapText="1"/>
    </xf>
    <xf numFmtId="1" fontId="5" fillId="0" borderId="0" xfId="0" quotePrefix="1" applyNumberFormat="1" applyFont="1" applyAlignment="1">
      <alignment horizontal="center" vertical="center"/>
    </xf>
    <xf numFmtId="169" fontId="78" fillId="0" borderId="0" xfId="0" applyNumberFormat="1" applyFont="1" applyAlignment="1">
      <alignment horizontal="center" vertical="center"/>
    </xf>
    <xf numFmtId="0" fontId="78" fillId="0" borderId="0" xfId="0" applyFont="1" applyAlignment="1" applyProtection="1">
      <alignment vertical="center"/>
      <protection locked="0"/>
    </xf>
    <xf numFmtId="164" fontId="79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vertical="center"/>
      <protection locked="0"/>
    </xf>
    <xf numFmtId="164" fontId="80" fillId="0" borderId="1" xfId="3" quotePrefix="1" applyNumberFormat="1" applyFont="1" applyBorder="1" applyAlignment="1">
      <alignment horizontal="center" vertical="center"/>
    </xf>
    <xf numFmtId="12" fontId="72" fillId="12" borderId="1" xfId="0" applyNumberFormat="1" applyFont="1" applyFill="1" applyBorder="1" applyAlignment="1" applyProtection="1">
      <alignment horizontal="center" vertical="center"/>
      <protection locked="0"/>
    </xf>
    <xf numFmtId="172" fontId="67" fillId="12" borderId="1" xfId="0" applyNumberFormat="1" applyFont="1" applyFill="1" applyBorder="1" applyAlignment="1" applyProtection="1">
      <alignment horizontal="center" vertical="center"/>
      <protection locked="0"/>
    </xf>
    <xf numFmtId="11" fontId="5" fillId="2" borderId="1" xfId="3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84" fontId="5" fillId="2" borderId="1" xfId="0" applyNumberFormat="1" applyFont="1" applyFill="1" applyBorder="1" applyAlignment="1">
      <alignment horizontal="center" vertical="center"/>
    </xf>
    <xf numFmtId="0" fontId="8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1" xfId="3" applyNumberFormat="1" applyFill="1" applyBorder="1" applyAlignment="1" applyProtection="1">
      <alignment horizontal="center" vertical="center"/>
      <protection locked="0"/>
    </xf>
    <xf numFmtId="185" fontId="5" fillId="0" borderId="1" xfId="3" quotePrefix="1" applyNumberFormat="1" applyBorder="1" applyAlignment="1">
      <alignment horizontal="center" vertical="center"/>
    </xf>
    <xf numFmtId="169" fontId="17" fillId="0" borderId="1" xfId="3" applyNumberFormat="1" applyFont="1" applyBorder="1" applyAlignment="1">
      <alignment horizontal="center" vertical="center"/>
    </xf>
    <xf numFmtId="169" fontId="17" fillId="0" borderId="1" xfId="0" quotePrefix="1" applyNumberFormat="1" applyFont="1" applyBorder="1" applyAlignment="1">
      <alignment horizontal="center" vertical="center"/>
    </xf>
    <xf numFmtId="169" fontId="72" fillId="12" borderId="1" xfId="3" applyNumberFormat="1" applyFont="1" applyFill="1" applyBorder="1" applyAlignment="1" applyProtection="1">
      <alignment horizontal="center" vertical="center"/>
      <protection locked="0"/>
    </xf>
    <xf numFmtId="169" fontId="5" fillId="0" borderId="1" xfId="3" quotePrefix="1" applyNumberFormat="1" applyBorder="1" applyAlignment="1">
      <alignment horizontal="center" vertical="center"/>
    </xf>
    <xf numFmtId="0" fontId="6" fillId="0" borderId="1" xfId="3" quotePrefix="1" applyFont="1" applyBorder="1" applyAlignment="1">
      <alignment horizontal="center" vertical="center"/>
    </xf>
    <xf numFmtId="187" fontId="12" fillId="0" borderId="7" xfId="0" applyNumberFormat="1" applyFont="1" applyBorder="1" applyAlignment="1" applyProtection="1">
      <alignment horizontal="left" vertical="center"/>
      <protection locked="0"/>
    </xf>
    <xf numFmtId="188" fontId="12" fillId="0" borderId="0" xfId="0" applyNumberFormat="1" applyFont="1" applyAlignment="1" applyProtection="1">
      <alignment horizontal="left" vertical="center"/>
      <protection locked="0"/>
    </xf>
    <xf numFmtId="0" fontId="73" fillId="0" borderId="1" xfId="4" applyFont="1" applyBorder="1" applyAlignment="1" applyProtection="1">
      <alignment horizontal="center" vertical="center" wrapText="1"/>
      <protection locked="0"/>
    </xf>
    <xf numFmtId="0" fontId="23" fillId="2" borderId="0" xfId="0" applyFont="1" applyFill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4" fillId="2" borderId="0" xfId="4" applyFont="1" applyFill="1" applyAlignment="1" applyProtection="1">
      <alignment horizontal="left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23" fillId="2" borderId="1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60" fillId="2" borderId="0" xfId="0" applyFont="1" applyFill="1" applyProtection="1">
      <protection hidden="1"/>
    </xf>
    <xf numFmtId="0" fontId="39" fillId="2" borderId="0" xfId="0" applyFont="1" applyFill="1" applyAlignment="1">
      <alignment vertical="center"/>
    </xf>
    <xf numFmtId="0" fontId="17" fillId="2" borderId="0" xfId="0" applyFont="1" applyFill="1" applyAlignment="1" applyProtection="1">
      <alignment horizontal="left" vertical="center" indent="2"/>
      <protection hidden="1"/>
    </xf>
    <xf numFmtId="0" fontId="25" fillId="2" borderId="0" xfId="0" applyFont="1" applyFill="1" applyAlignment="1">
      <alignment vertical="center"/>
    </xf>
    <xf numFmtId="0" fontId="17" fillId="2" borderId="0" xfId="0" applyFont="1" applyFill="1" applyProtection="1">
      <protection hidden="1"/>
    </xf>
    <xf numFmtId="0" fontId="12" fillId="2" borderId="0" xfId="2" applyFont="1" applyFill="1" applyAlignment="1">
      <alignment horizontal="left" vertical="center" indent="1"/>
    </xf>
    <xf numFmtId="0" fontId="77" fillId="0" borderId="0" xfId="0" applyFont="1" applyAlignment="1" applyProtection="1">
      <alignment horizontal="center" vertical="center"/>
      <protection locked="0"/>
    </xf>
    <xf numFmtId="2" fontId="73" fillId="0" borderId="1" xfId="4" applyNumberFormat="1" applyFont="1" applyBorder="1" applyAlignment="1" applyProtection="1">
      <alignment horizontal="center" vertical="center" wrapText="1"/>
      <protection locked="0"/>
    </xf>
    <xf numFmtId="12" fontId="5" fillId="2" borderId="1" xfId="0" quotePrefix="1" applyNumberFormat="1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17" fillId="2" borderId="0" xfId="2" applyFont="1" applyFill="1" applyAlignment="1">
      <alignment vertical="center"/>
    </xf>
    <xf numFmtId="0" fontId="30" fillId="2" borderId="0" xfId="2" applyFont="1" applyFill="1" applyAlignment="1">
      <alignment vertical="center"/>
    </xf>
    <xf numFmtId="0" fontId="23" fillId="2" borderId="0" xfId="0" applyFont="1" applyFill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vertical="center"/>
      <protection locked="0"/>
    </xf>
    <xf numFmtId="0" fontId="22" fillId="2" borderId="0" xfId="2" applyFont="1" applyFill="1" applyAlignment="1">
      <alignment horizontal="right" vertical="center"/>
    </xf>
    <xf numFmtId="0" fontId="5" fillId="2" borderId="17" xfId="0" applyFont="1" applyFill="1" applyBorder="1" applyAlignment="1">
      <alignment horizontal="left" indent="1"/>
    </xf>
    <xf numFmtId="0" fontId="5" fillId="2" borderId="19" xfId="0" applyFont="1" applyFill="1" applyBorder="1" applyAlignment="1">
      <alignment horizontal="left" indent="1"/>
    </xf>
    <xf numFmtId="0" fontId="6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2" fillId="2" borderId="19" xfId="2" applyFont="1" applyFill="1" applyBorder="1" applyAlignment="1">
      <alignment horizontal="left" vertical="center" indent="1"/>
    </xf>
    <xf numFmtId="0" fontId="12" fillId="2" borderId="18" xfId="2" applyFont="1" applyFill="1" applyBorder="1" applyAlignment="1">
      <alignment horizontal="left" vertical="center" indent="1"/>
    </xf>
    <xf numFmtId="0" fontId="12" fillId="0" borderId="0" xfId="2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22" fillId="0" borderId="0" xfId="2" applyFont="1" applyAlignment="1">
      <alignment horizontal="right" vertical="center" wrapText="1"/>
    </xf>
    <xf numFmtId="183" fontId="5" fillId="2" borderId="1" xfId="3" applyNumberFormat="1" applyFill="1" applyBorder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6" fillId="2" borderId="43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16" fillId="2" borderId="44" xfId="0" applyFont="1" applyFill="1" applyBorder="1" applyAlignment="1">
      <alignment vertical="center"/>
    </xf>
    <xf numFmtId="0" fontId="23" fillId="2" borderId="44" xfId="0" applyFont="1" applyFill="1" applyBorder="1" applyProtection="1">
      <protection hidden="1"/>
    </xf>
    <xf numFmtId="0" fontId="23" fillId="2" borderId="45" xfId="0" applyFont="1" applyFill="1" applyBorder="1" applyProtection="1">
      <protection hidden="1"/>
    </xf>
    <xf numFmtId="0" fontId="6" fillId="2" borderId="46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3" fillId="2" borderId="47" xfId="0" applyFont="1" applyFill="1" applyBorder="1" applyProtection="1">
      <protection hidden="1"/>
    </xf>
    <xf numFmtId="0" fontId="40" fillId="2" borderId="48" xfId="0" applyFont="1" applyFill="1" applyBorder="1" applyAlignment="1">
      <alignment vertical="center"/>
    </xf>
    <xf numFmtId="0" fontId="40" fillId="2" borderId="49" xfId="0" applyFont="1" applyFill="1" applyBorder="1" applyAlignment="1">
      <alignment vertical="center"/>
    </xf>
    <xf numFmtId="0" fontId="40" fillId="2" borderId="50" xfId="0" applyFont="1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81" fillId="2" borderId="1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81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2" fillId="2" borderId="0" xfId="2" applyFont="1" applyFill="1" applyAlignment="1">
      <alignment vertical="center"/>
    </xf>
    <xf numFmtId="0" fontId="22" fillId="2" borderId="0" xfId="2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7" fontId="12" fillId="2" borderId="0" xfId="0" applyNumberFormat="1" applyFont="1" applyFill="1" applyAlignment="1">
      <alignment vertical="center"/>
    </xf>
    <xf numFmtId="0" fontId="22" fillId="2" borderId="4" xfId="2" applyFont="1" applyFill="1" applyBorder="1" applyAlignment="1">
      <alignment vertical="center"/>
    </xf>
    <xf numFmtId="0" fontId="22" fillId="2" borderId="3" xfId="2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17" fontId="12" fillId="2" borderId="5" xfId="0" applyNumberFormat="1" applyFont="1" applyFill="1" applyBorder="1" applyAlignment="1">
      <alignment vertical="center"/>
    </xf>
    <xf numFmtId="14" fontId="12" fillId="2" borderId="7" xfId="0" applyNumberFormat="1" applyFont="1" applyFill="1" applyBorder="1" applyAlignment="1" applyProtection="1">
      <alignment horizontal="left" vertical="center"/>
      <protection hidden="1"/>
    </xf>
    <xf numFmtId="0" fontId="17" fillId="2" borderId="6" xfId="4" quotePrefix="1" applyFont="1" applyFill="1" applyBorder="1" applyAlignment="1">
      <alignment horizontal="left" vertical="center" indent="2"/>
    </xf>
    <xf numFmtId="0" fontId="24" fillId="2" borderId="0" xfId="4" applyFont="1" applyFill="1" applyAlignment="1" applyProtection="1">
      <alignment vertical="center"/>
      <protection hidden="1"/>
    </xf>
    <xf numFmtId="0" fontId="24" fillId="2" borderId="1" xfId="4" applyFont="1" applyFill="1" applyBorder="1" applyAlignment="1" applyProtection="1">
      <alignment horizontal="center" vertical="center" wrapText="1"/>
      <protection locked="0"/>
    </xf>
    <xf numFmtId="0" fontId="17" fillId="2" borderId="6" xfId="4" quotePrefix="1" applyFont="1" applyFill="1" applyBorder="1" applyAlignment="1">
      <alignment horizontal="left" vertical="center" indent="3"/>
    </xf>
    <xf numFmtId="0" fontId="24" fillId="2" borderId="6" xfId="4" applyFont="1" applyFill="1" applyBorder="1" applyAlignment="1" applyProtection="1">
      <alignment horizontal="left" vertical="center"/>
      <protection hidden="1"/>
    </xf>
    <xf numFmtId="0" fontId="30" fillId="2" borderId="6" xfId="2" applyFont="1" applyFill="1" applyBorder="1" applyAlignment="1">
      <alignment horizontal="center" vertical="center"/>
    </xf>
    <xf numFmtId="0" fontId="23" fillId="2" borderId="6" xfId="0" applyFont="1" applyFill="1" applyBorder="1" applyAlignment="1" applyProtection="1">
      <alignment horizontal="center"/>
      <protection hidden="1"/>
    </xf>
    <xf numFmtId="0" fontId="23" fillId="2" borderId="7" xfId="0" applyFont="1" applyFill="1" applyBorder="1" applyProtection="1">
      <protection hidden="1"/>
    </xf>
    <xf numFmtId="0" fontId="39" fillId="2" borderId="4" xfId="0" applyFont="1" applyFill="1" applyBorder="1" applyAlignment="1">
      <alignment horizontal="center" vertical="center" wrapText="1"/>
    </xf>
    <xf numFmtId="0" fontId="23" fillId="2" borderId="11" xfId="0" applyFont="1" applyFill="1" applyBorder="1" applyProtection="1">
      <protection hidden="1"/>
    </xf>
    <xf numFmtId="0" fontId="23" fillId="2" borderId="3" xfId="0" applyFont="1" applyFill="1" applyBorder="1" applyProtection="1">
      <protection hidden="1"/>
    </xf>
    <xf numFmtId="0" fontId="39" fillId="2" borderId="3" xfId="0" applyFont="1" applyFill="1" applyBorder="1" applyAlignment="1">
      <alignment horizontal="center" vertical="center" wrapText="1"/>
    </xf>
    <xf numFmtId="0" fontId="39" fillId="2" borderId="5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 applyProtection="1">
      <alignment horizontal="center" vertical="center"/>
      <protection hidden="1"/>
    </xf>
    <xf numFmtId="0" fontId="39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Protection="1">
      <protection hidden="1"/>
    </xf>
    <xf numFmtId="0" fontId="24" fillId="2" borderId="18" xfId="0" applyFont="1" applyFill="1" applyBorder="1" applyAlignment="1">
      <alignment horizontal="center" vertical="center"/>
    </xf>
    <xf numFmtId="167" fontId="24" fillId="2" borderId="1" xfId="0" quotePrefix="1" applyNumberFormat="1" applyFont="1" applyFill="1" applyBorder="1" applyAlignment="1">
      <alignment horizontal="center" vertical="center" wrapText="1"/>
    </xf>
    <xf numFmtId="2" fontId="17" fillId="2" borderId="1" xfId="0" quotePrefix="1" applyNumberFormat="1" applyFont="1" applyFill="1" applyBorder="1" applyAlignment="1">
      <alignment horizontal="center" vertical="center"/>
    </xf>
    <xf numFmtId="3" fontId="17" fillId="2" borderId="0" xfId="0" applyNumberFormat="1" applyFont="1" applyFill="1" applyAlignment="1">
      <alignment vertical="center" wrapText="1"/>
    </xf>
    <xf numFmtId="3" fontId="17" fillId="2" borderId="7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2" fontId="24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 applyProtection="1">
      <alignment vertical="center"/>
      <protection hidden="1"/>
    </xf>
    <xf numFmtId="0" fontId="24" fillId="2" borderId="0" xfId="0" applyFont="1" applyFill="1" applyAlignment="1">
      <alignment horizontal="center" vertical="center"/>
    </xf>
    <xf numFmtId="3" fontId="17" fillId="2" borderId="2" xfId="0" applyNumberFormat="1" applyFont="1" applyFill="1" applyBorder="1" applyAlignment="1">
      <alignment vertical="center" wrapText="1"/>
    </xf>
    <xf numFmtId="0" fontId="12" fillId="2" borderId="0" xfId="2" applyFont="1" applyFill="1" applyAlignment="1">
      <alignment vertical="center"/>
    </xf>
    <xf numFmtId="0" fontId="39" fillId="2" borderId="1" xfId="0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hidden="1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7" xfId="0" applyFont="1" applyFill="1" applyBorder="1" applyAlignment="1" applyProtection="1">
      <alignment horizontal="center" vertical="center"/>
      <protection locked="0"/>
    </xf>
    <xf numFmtId="0" fontId="23" fillId="2" borderId="8" xfId="0" applyFont="1" applyFill="1" applyBorder="1" applyProtection="1">
      <protection hidden="1"/>
    </xf>
    <xf numFmtId="0" fontId="12" fillId="2" borderId="2" xfId="0" applyFont="1" applyFill="1" applyBorder="1" applyAlignment="1" applyProtection="1">
      <alignment vertical="top"/>
      <protection locked="0"/>
    </xf>
    <xf numFmtId="0" fontId="17" fillId="2" borderId="2" xfId="0" applyFont="1" applyFill="1" applyBorder="1" applyAlignment="1" applyProtection="1">
      <alignment vertical="center"/>
      <protection locked="0"/>
    </xf>
    <xf numFmtId="0" fontId="17" fillId="2" borderId="2" xfId="0" applyFont="1" applyFill="1" applyBorder="1" applyAlignment="1" applyProtection="1">
      <alignment horizontal="center" vertical="center"/>
      <protection locked="0"/>
    </xf>
    <xf numFmtId="0" fontId="39" fillId="2" borderId="2" xfId="0" applyFont="1" applyFill="1" applyBorder="1" applyAlignment="1" applyProtection="1">
      <alignment vertical="center"/>
      <protection hidden="1"/>
    </xf>
    <xf numFmtId="0" fontId="23" fillId="2" borderId="2" xfId="0" applyFont="1" applyFill="1" applyBorder="1" applyProtection="1">
      <protection hidden="1"/>
    </xf>
    <xf numFmtId="0" fontId="6" fillId="2" borderId="2" xfId="0" applyFont="1" applyFill="1" applyBorder="1" applyAlignment="1" applyProtection="1">
      <alignment vertical="center"/>
      <protection hidden="1"/>
    </xf>
    <xf numFmtId="0" fontId="6" fillId="2" borderId="9" xfId="0" applyFont="1" applyFill="1" applyBorder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left" vertical="center" indent="2"/>
      <protection hidden="1"/>
    </xf>
    <xf numFmtId="167" fontId="73" fillId="2" borderId="0" xfId="0" quotePrefix="1" applyNumberFormat="1" applyFont="1" applyFill="1" applyAlignment="1">
      <alignment horizontal="center" vertical="center" wrapText="1"/>
    </xf>
    <xf numFmtId="164" fontId="39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 applyProtection="1">
      <alignment horizontal="left" vertical="center"/>
      <protection hidden="1"/>
    </xf>
    <xf numFmtId="0" fontId="12" fillId="2" borderId="2" xfId="0" applyFont="1" applyFill="1" applyBorder="1" applyAlignment="1" applyProtection="1">
      <alignment horizontal="left" vertical="center" indent="2"/>
      <protection hidden="1"/>
    </xf>
    <xf numFmtId="0" fontId="6" fillId="2" borderId="0" xfId="0" applyFont="1" applyFill="1" applyProtection="1">
      <protection hidden="1"/>
    </xf>
    <xf numFmtId="0" fontId="12" fillId="2" borderId="0" xfId="0" applyFont="1" applyFill="1" applyAlignment="1" applyProtection="1">
      <alignment horizontal="left" vertical="center" indent="1"/>
      <protection hidden="1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left" indent="1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17" fillId="2" borderId="0" xfId="0" applyFont="1" applyFill="1" applyAlignment="1" applyProtection="1">
      <alignment vertical="center"/>
      <protection hidden="1"/>
    </xf>
    <xf numFmtId="0" fontId="8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4" xfId="2" applyFont="1" applyBorder="1" applyAlignment="1">
      <alignment horizontal="left" vertical="center"/>
    </xf>
    <xf numFmtId="0" fontId="25" fillId="0" borderId="3" xfId="2" applyFont="1" applyBorder="1" applyAlignment="1">
      <alignment horizontal="left" vertical="center"/>
    </xf>
    <xf numFmtId="0" fontId="25" fillId="0" borderId="6" xfId="2" applyFont="1" applyBorder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22" fillId="3" borderId="1" xfId="0" applyFont="1" applyFill="1" applyBorder="1" applyAlignment="1" applyProtection="1">
      <alignment horizontal="center" vertical="center" wrapText="1"/>
      <protection hidden="1"/>
    </xf>
    <xf numFmtId="0" fontId="39" fillId="8" borderId="4" xfId="0" applyFont="1" applyFill="1" applyBorder="1" applyAlignment="1" applyProtection="1">
      <alignment horizontal="center" vertical="center" wrapText="1"/>
      <protection hidden="1"/>
    </xf>
    <xf numFmtId="0" fontId="39" fillId="8" borderId="5" xfId="0" applyFont="1" applyFill="1" applyBorder="1" applyAlignment="1" applyProtection="1">
      <alignment horizontal="center" vertical="center" wrapText="1"/>
      <protection hidden="1"/>
    </xf>
    <xf numFmtId="0" fontId="39" fillId="8" borderId="8" xfId="0" applyFont="1" applyFill="1" applyBorder="1" applyAlignment="1" applyProtection="1">
      <alignment horizontal="center" vertical="center" wrapText="1"/>
      <protection hidden="1"/>
    </xf>
    <xf numFmtId="0" fontId="39" fillId="8" borderId="9" xfId="0" applyFont="1" applyFill="1" applyBorder="1" applyAlignment="1" applyProtection="1">
      <alignment horizontal="center" vertical="center" wrapText="1"/>
      <protection hidden="1"/>
    </xf>
    <xf numFmtId="0" fontId="43" fillId="8" borderId="17" xfId="0" applyFont="1" applyFill="1" applyBorder="1" applyAlignment="1" applyProtection="1">
      <alignment horizontal="center" vertical="center" wrapText="1"/>
      <protection hidden="1"/>
    </xf>
    <xf numFmtId="0" fontId="43" fillId="8" borderId="18" xfId="0" applyFont="1" applyFill="1" applyBorder="1" applyAlignment="1" applyProtection="1">
      <alignment horizontal="center" vertical="center" wrapText="1"/>
      <protection hidden="1"/>
    </xf>
    <xf numFmtId="166" fontId="8" fillId="0" borderId="0" xfId="0" applyNumberFormat="1" applyFont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3" fontId="11" fillId="0" borderId="0" xfId="0" applyNumberFormat="1" applyFont="1" applyAlignment="1">
      <alignment horizontal="center" vertical="center" wrapText="1"/>
    </xf>
    <xf numFmtId="169" fontId="21" fillId="0" borderId="0" xfId="0" applyNumberFormat="1" applyFont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176" fontId="26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>
      <alignment horizontal="center" vertical="center" wrapText="1"/>
    </xf>
    <xf numFmtId="0" fontId="24" fillId="0" borderId="0" xfId="4" applyFont="1" applyAlignment="1" applyProtection="1">
      <alignment horizontal="left" vertical="center" wrapText="1" indent="1"/>
      <protection hidden="1"/>
    </xf>
    <xf numFmtId="0" fontId="24" fillId="0" borderId="7" xfId="4" applyFont="1" applyBorder="1" applyAlignment="1" applyProtection="1">
      <alignment horizontal="left" vertical="center" wrapText="1" indent="1"/>
      <protection hidden="1"/>
    </xf>
    <xf numFmtId="0" fontId="43" fillId="2" borderId="0" xfId="0" applyFont="1" applyFill="1" applyAlignment="1" applyProtection="1">
      <alignment horizontal="center" vertical="center" wrapText="1"/>
      <protection hidden="1"/>
    </xf>
    <xf numFmtId="0" fontId="17" fillId="9" borderId="17" xfId="0" applyFont="1" applyFill="1" applyBorder="1" applyAlignment="1" applyProtection="1">
      <alignment horizontal="center" vertical="center"/>
      <protection hidden="1"/>
    </xf>
    <xf numFmtId="0" fontId="17" fillId="9" borderId="19" xfId="0" applyFont="1" applyFill="1" applyBorder="1" applyAlignment="1" applyProtection="1">
      <alignment horizontal="center" vertical="center"/>
      <protection hidden="1"/>
    </xf>
    <xf numFmtId="0" fontId="17" fillId="9" borderId="18" xfId="0" applyFont="1" applyFill="1" applyBorder="1" applyAlignment="1" applyProtection="1">
      <alignment horizontal="center" vertical="center"/>
      <protection hidden="1"/>
    </xf>
    <xf numFmtId="0" fontId="30" fillId="0" borderId="4" xfId="0" applyFont="1" applyBorder="1" applyAlignment="1">
      <alignment horizontal="left" vertical="center" indent="1"/>
    </xf>
    <xf numFmtId="0" fontId="30" fillId="0" borderId="6" xfId="0" applyFont="1" applyBorder="1" applyAlignment="1">
      <alignment horizontal="left" vertical="center" indent="1"/>
    </xf>
    <xf numFmtId="0" fontId="31" fillId="0" borderId="3" xfId="0" applyFont="1" applyBorder="1" applyAlignment="1" applyProtection="1">
      <alignment horizontal="left" vertical="center" indent="1"/>
      <protection locked="0"/>
    </xf>
    <xf numFmtId="0" fontId="31" fillId="0" borderId="5" xfId="0" applyFont="1" applyBorder="1" applyAlignment="1" applyProtection="1">
      <alignment horizontal="left" vertical="center" indent="1"/>
      <protection locked="0"/>
    </xf>
    <xf numFmtId="0" fontId="31" fillId="0" borderId="0" xfId="0" applyFont="1" applyAlignment="1" applyProtection="1">
      <alignment horizontal="left" vertical="center" indent="1"/>
      <protection locked="0"/>
    </xf>
    <xf numFmtId="0" fontId="31" fillId="0" borderId="7" xfId="0" applyFont="1" applyBorder="1" applyAlignment="1" applyProtection="1">
      <alignment horizontal="left" vertical="center" indent="1"/>
      <protection locked="0"/>
    </xf>
    <xf numFmtId="0" fontId="31" fillId="0" borderId="2" xfId="0" applyFont="1" applyBorder="1" applyAlignment="1" applyProtection="1">
      <alignment horizontal="left" vertical="center" indent="1"/>
      <protection locked="0"/>
    </xf>
    <xf numFmtId="0" fontId="31" fillId="0" borderId="9" xfId="0" applyFont="1" applyBorder="1" applyAlignment="1" applyProtection="1">
      <alignment horizontal="left" vertical="center" indent="1"/>
      <protection locked="0"/>
    </xf>
    <xf numFmtId="0" fontId="34" fillId="0" borderId="0" xfId="4" applyFont="1" applyAlignment="1">
      <alignment horizontal="center" vertical="center"/>
    </xf>
    <xf numFmtId="0" fontId="33" fillId="0" borderId="0" xfId="4" applyFont="1" applyAlignment="1" applyProtection="1">
      <alignment horizontal="left" vertical="center" wrapText="1"/>
      <protection hidden="1"/>
    </xf>
    <xf numFmtId="0" fontId="10" fillId="2" borderId="6" xfId="0" applyFont="1" applyFill="1" applyBorder="1" applyAlignment="1" applyProtection="1">
      <alignment horizontal="center" vertical="center" wrapText="1"/>
      <protection hidden="1"/>
    </xf>
    <xf numFmtId="0" fontId="56" fillId="4" borderId="13" xfId="0" applyFont="1" applyFill="1" applyBorder="1" applyAlignment="1" applyProtection="1">
      <alignment horizontal="center" vertical="center" wrapText="1"/>
      <protection hidden="1"/>
    </xf>
    <xf numFmtId="0" fontId="56" fillId="4" borderId="14" xfId="0" applyFont="1" applyFill="1" applyBorder="1" applyAlignment="1" applyProtection="1">
      <alignment horizontal="center" vertical="center" wrapText="1"/>
      <protection hidden="1"/>
    </xf>
    <xf numFmtId="0" fontId="56" fillId="4" borderId="15" xfId="0" applyFont="1" applyFill="1" applyBorder="1" applyAlignment="1" applyProtection="1">
      <alignment horizontal="center" vertical="center" wrapText="1"/>
      <protection hidden="1"/>
    </xf>
    <xf numFmtId="0" fontId="56" fillId="4" borderId="16" xfId="0" applyFont="1" applyFill="1" applyBorder="1" applyAlignment="1" applyProtection="1">
      <alignment horizontal="center" vertical="center" wrapText="1"/>
      <protection hidden="1"/>
    </xf>
    <xf numFmtId="14" fontId="9" fillId="2" borderId="2" xfId="0" applyNumberFormat="1" applyFont="1" applyFill="1" applyBorder="1" applyAlignment="1" applyProtection="1">
      <alignment horizontal="left" vertical="center"/>
      <protection hidden="1"/>
    </xf>
    <xf numFmtId="0" fontId="49" fillId="2" borderId="6" xfId="0" applyFont="1" applyFill="1" applyBorder="1" applyAlignment="1">
      <alignment horizontal="left" vertical="center"/>
    </xf>
    <xf numFmtId="0" fontId="49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189" fontId="26" fillId="2" borderId="0" xfId="0" applyNumberFormat="1" applyFont="1" applyFill="1" applyAlignment="1" applyProtection="1">
      <alignment horizontal="center"/>
      <protection hidden="1"/>
    </xf>
    <xf numFmtId="0" fontId="6" fillId="2" borderId="4" xfId="0" applyFont="1" applyFill="1" applyBorder="1" applyAlignment="1" applyProtection="1">
      <alignment horizontal="center" vertical="center" wrapText="1"/>
      <protection hidden="1"/>
    </xf>
    <xf numFmtId="0" fontId="6" fillId="2" borderId="3" xfId="0" applyFont="1" applyFill="1" applyBorder="1" applyAlignment="1" applyProtection="1">
      <alignment horizontal="center" vertical="center" wrapText="1"/>
      <protection hidden="1"/>
    </xf>
    <xf numFmtId="0" fontId="6" fillId="2" borderId="5" xfId="0" applyFont="1" applyFill="1" applyBorder="1" applyAlignment="1" applyProtection="1">
      <alignment horizontal="center" vertical="center" wrapText="1"/>
      <protection hidden="1"/>
    </xf>
    <xf numFmtId="0" fontId="6" fillId="2" borderId="8" xfId="0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1" xfId="2" applyFont="1" applyFill="1" applyBorder="1" applyAlignment="1">
      <alignment horizontal="left" vertical="center" indent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30" fillId="2" borderId="10" xfId="2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center" vertical="center"/>
    </xf>
    <xf numFmtId="0" fontId="30" fillId="2" borderId="12" xfId="2" applyFont="1" applyFill="1" applyBorder="1" applyAlignment="1">
      <alignment horizontal="center" vertical="center"/>
    </xf>
    <xf numFmtId="0" fontId="30" fillId="2" borderId="1" xfId="2" applyFont="1" applyFill="1" applyBorder="1" applyAlignment="1">
      <alignment horizontal="center" vertical="center"/>
    </xf>
    <xf numFmtId="167" fontId="17" fillId="2" borderId="10" xfId="0" quotePrefix="1" applyNumberFormat="1" applyFont="1" applyFill="1" applyBorder="1" applyAlignment="1">
      <alignment horizontal="left" vertical="center"/>
    </xf>
    <xf numFmtId="167" fontId="17" fillId="2" borderId="11" xfId="0" quotePrefix="1" applyNumberFormat="1" applyFont="1" applyFill="1" applyBorder="1" applyAlignment="1">
      <alignment horizontal="left" vertical="center"/>
    </xf>
    <xf numFmtId="167" fontId="17" fillId="2" borderId="12" xfId="0" quotePrefix="1" applyNumberFormat="1" applyFont="1" applyFill="1" applyBorder="1" applyAlignment="1">
      <alignment horizontal="left" vertical="center"/>
    </xf>
    <xf numFmtId="0" fontId="39" fillId="2" borderId="1" xfId="0" applyFont="1" applyFill="1" applyBorder="1" applyAlignment="1" applyProtection="1">
      <alignment horizontal="center" vertical="center"/>
      <protection hidden="1"/>
    </xf>
    <xf numFmtId="0" fontId="39" fillId="2" borderId="0" xfId="0" applyFont="1" applyFill="1" applyAlignment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  <protection locked="0"/>
    </xf>
    <xf numFmtId="0" fontId="17" fillId="2" borderId="5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9" xfId="0" applyFont="1" applyFill="1" applyBorder="1" applyAlignment="1" applyProtection="1">
      <alignment horizontal="center" vertical="center" wrapText="1"/>
      <protection locked="0"/>
    </xf>
    <xf numFmtId="0" fontId="39" fillId="2" borderId="1" xfId="0" applyFont="1" applyFill="1" applyBorder="1" applyAlignment="1" applyProtection="1">
      <alignment horizontal="center" vertical="center"/>
      <protection locked="0"/>
    </xf>
    <xf numFmtId="0" fontId="39" fillId="2" borderId="10" xfId="0" applyFont="1" applyFill="1" applyBorder="1" applyAlignment="1" applyProtection="1">
      <alignment horizontal="center" vertical="center"/>
      <protection hidden="1"/>
    </xf>
    <xf numFmtId="0" fontId="39" fillId="2" borderId="12" xfId="0" applyFont="1" applyFill="1" applyBorder="1" applyAlignment="1" applyProtection="1">
      <alignment horizontal="center" vertical="center"/>
      <protection hidden="1"/>
    </xf>
    <xf numFmtId="0" fontId="39" fillId="2" borderId="11" xfId="0" applyFont="1" applyFill="1" applyBorder="1" applyAlignment="1" applyProtection="1">
      <alignment horizontal="center" vertical="center"/>
      <protection hidden="1"/>
    </xf>
    <xf numFmtId="0" fontId="39" fillId="2" borderId="1" xfId="0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/>
      <protection hidden="1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left" vertical="center" wrapText="1"/>
      <protection hidden="1"/>
    </xf>
    <xf numFmtId="0" fontId="6" fillId="2" borderId="3" xfId="0" applyFont="1" applyFill="1" applyBorder="1" applyAlignment="1" applyProtection="1">
      <alignment horizontal="left" vertical="center" wrapText="1"/>
      <protection hidden="1"/>
    </xf>
    <xf numFmtId="0" fontId="6" fillId="2" borderId="5" xfId="0" applyFont="1" applyFill="1" applyBorder="1" applyAlignment="1" applyProtection="1">
      <alignment horizontal="left" vertical="center" wrapText="1"/>
      <protection hidden="1"/>
    </xf>
    <xf numFmtId="0" fontId="6" fillId="2" borderId="6" xfId="0" applyFont="1" applyFill="1" applyBorder="1" applyAlignment="1" applyProtection="1">
      <alignment horizontal="left" vertical="center" wrapText="1"/>
      <protection hidden="1"/>
    </xf>
    <xf numFmtId="0" fontId="6" fillId="2" borderId="0" xfId="0" applyFont="1" applyFill="1" applyAlignment="1" applyProtection="1">
      <alignment horizontal="left" vertical="center" wrapText="1"/>
      <protection hidden="1"/>
    </xf>
    <xf numFmtId="0" fontId="6" fillId="2" borderId="7" xfId="0" applyFont="1" applyFill="1" applyBorder="1" applyAlignment="1" applyProtection="1">
      <alignment horizontal="left" vertical="center" wrapText="1"/>
      <protection hidden="1"/>
    </xf>
    <xf numFmtId="0" fontId="6" fillId="2" borderId="8" xfId="0" applyFont="1" applyFill="1" applyBorder="1" applyAlignment="1" applyProtection="1">
      <alignment horizontal="left" vertical="center" wrapText="1"/>
      <protection hidden="1"/>
    </xf>
    <xf numFmtId="0" fontId="6" fillId="2" borderId="2" xfId="0" applyFont="1" applyFill="1" applyBorder="1" applyAlignment="1" applyProtection="1">
      <alignment horizontal="left" vertical="center" wrapText="1"/>
      <protection hidden="1"/>
    </xf>
    <xf numFmtId="0" fontId="6" fillId="2" borderId="9" xfId="0" applyFont="1" applyFill="1" applyBorder="1" applyAlignment="1" applyProtection="1">
      <alignment horizontal="left" vertical="center" wrapText="1"/>
      <protection hidden="1"/>
    </xf>
    <xf numFmtId="0" fontId="17" fillId="2" borderId="0" xfId="9" applyFont="1" applyFill="1" applyBorder="1" applyAlignment="1" applyProtection="1">
      <alignment horizontal="center" vertical="center" wrapText="1"/>
    </xf>
    <xf numFmtId="16" fontId="17" fillId="2" borderId="1" xfId="0" applyNumberFormat="1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hidden="1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7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59" fillId="0" borderId="0" xfId="4" applyFont="1" applyAlignment="1">
      <alignment horizontal="right" vertical="center"/>
    </xf>
    <xf numFmtId="0" fontId="24" fillId="0" borderId="0" xfId="4" quotePrefix="1" applyFont="1" applyAlignment="1">
      <alignment horizontal="left" vertical="center" wrapText="1"/>
    </xf>
    <xf numFmtId="0" fontId="43" fillId="2" borderId="0" xfId="0" applyFont="1" applyFill="1" applyAlignment="1" applyProtection="1">
      <alignment horizontal="center" vertical="center" wrapText="1"/>
      <protection locked="0"/>
    </xf>
    <xf numFmtId="0" fontId="24" fillId="0" borderId="0" xfId="4" applyFont="1" applyAlignment="1">
      <alignment horizontal="left" vertical="center" wrapText="1"/>
    </xf>
    <xf numFmtId="186" fontId="26" fillId="0" borderId="0" xfId="0" applyNumberFormat="1" applyFont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169" fontId="24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73" fillId="0" borderId="1" xfId="4" applyFont="1" applyBorder="1" applyAlignment="1" applyProtection="1">
      <alignment horizontal="center" vertical="center" wrapText="1"/>
      <protection locked="0"/>
    </xf>
    <xf numFmtId="12" fontId="24" fillId="0" borderId="1" xfId="4" applyNumberFormat="1" applyFont="1" applyBorder="1" applyAlignment="1" applyProtection="1">
      <alignment horizontal="center" vertical="center" wrapText="1"/>
      <protection locked="0"/>
    </xf>
    <xf numFmtId="0" fontId="12" fillId="0" borderId="0" xfId="2" applyFont="1" applyAlignment="1" applyProtection="1">
      <alignment horizontal="left" vertical="center" wrapText="1"/>
      <protection locked="0"/>
    </xf>
    <xf numFmtId="0" fontId="26" fillId="0" borderId="0" xfId="3" applyFont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9" fontId="6" fillId="0" borderId="1" xfId="3" applyNumberFormat="1" applyFont="1" applyBorder="1" applyAlignment="1">
      <alignment horizontal="center" vertical="center"/>
    </xf>
    <xf numFmtId="0" fontId="5" fillId="0" borderId="10" xfId="3" applyBorder="1" applyAlignment="1">
      <alignment horizontal="center" vertical="center"/>
    </xf>
    <xf numFmtId="0" fontId="5" fillId="0" borderId="11" xfId="3" applyBorder="1" applyAlignment="1">
      <alignment horizontal="center" vertical="center"/>
    </xf>
    <xf numFmtId="0" fontId="5" fillId="0" borderId="12" xfId="3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167" fontId="5" fillId="0" borderId="10" xfId="0" quotePrefix="1" applyNumberFormat="1" applyFont="1" applyBorder="1" applyAlignment="1">
      <alignment horizontal="left" vertical="center" indent="1"/>
    </xf>
    <xf numFmtId="167" fontId="5" fillId="0" borderId="11" xfId="0" quotePrefix="1" applyNumberFormat="1" applyFont="1" applyBorder="1" applyAlignment="1">
      <alignment horizontal="left" vertical="center" indent="1"/>
    </xf>
    <xf numFmtId="167" fontId="5" fillId="0" borderId="12" xfId="0" quotePrefix="1" applyNumberFormat="1" applyFont="1" applyBorder="1" applyAlignment="1">
      <alignment horizontal="left" vertical="center" indent="1"/>
    </xf>
    <xf numFmtId="167" fontId="6" fillId="0" borderId="10" xfId="0" quotePrefix="1" applyNumberFormat="1" applyFont="1" applyBorder="1" applyAlignment="1">
      <alignment horizontal="left" vertical="center" indent="1"/>
    </xf>
    <xf numFmtId="167" fontId="6" fillId="0" borderId="11" xfId="0" quotePrefix="1" applyNumberFormat="1" applyFont="1" applyBorder="1" applyAlignment="1">
      <alignment horizontal="left" vertical="center" indent="1"/>
    </xf>
    <xf numFmtId="167" fontId="6" fillId="0" borderId="12" xfId="0" quotePrefix="1" applyNumberFormat="1" applyFont="1" applyBorder="1" applyAlignment="1">
      <alignment horizontal="left" vertical="center" indent="1"/>
    </xf>
    <xf numFmtId="0" fontId="60" fillId="0" borderId="1" xfId="0" applyFont="1" applyBorder="1" applyAlignment="1">
      <alignment horizontal="center" vertical="center"/>
    </xf>
    <xf numFmtId="0" fontId="0" fillId="0" borderId="12" xfId="0" applyBorder="1"/>
    <xf numFmtId="0" fontId="63" fillId="0" borderId="0" xfId="0" applyFont="1" applyAlignment="1">
      <alignment horizontal="center" vertical="center"/>
    </xf>
    <xf numFmtId="0" fontId="0" fillId="2" borderId="0" xfId="0" applyFill="1"/>
    <xf numFmtId="183" fontId="60" fillId="0" borderId="1" xfId="0" applyNumberFormat="1" applyFont="1" applyBorder="1" applyAlignment="1">
      <alignment horizontal="center" vertical="center"/>
    </xf>
    <xf numFmtId="183" fontId="5" fillId="2" borderId="1" xfId="3" applyNumberForma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5" fillId="2" borderId="4" xfId="6" applyFont="1" applyFill="1" applyBorder="1" applyAlignment="1">
      <alignment horizontal="center" vertical="center" wrapText="1"/>
    </xf>
    <xf numFmtId="0" fontId="65" fillId="2" borderId="3" xfId="6" applyFont="1" applyFill="1" applyBorder="1" applyAlignment="1">
      <alignment horizontal="center" vertical="center" wrapText="1"/>
    </xf>
    <xf numFmtId="0" fontId="65" fillId="2" borderId="5" xfId="6" applyFont="1" applyFill="1" applyBorder="1" applyAlignment="1">
      <alignment horizontal="center" vertical="center" wrapText="1"/>
    </xf>
    <xf numFmtId="0" fontId="65" fillId="2" borderId="6" xfId="6" applyFont="1" applyFill="1" applyBorder="1" applyAlignment="1">
      <alignment horizontal="center" vertical="center" wrapText="1"/>
    </xf>
    <xf numFmtId="0" fontId="65" fillId="2" borderId="0" xfId="6" applyFont="1" applyFill="1" applyAlignment="1">
      <alignment horizontal="center" vertical="center" wrapText="1"/>
    </xf>
    <xf numFmtId="0" fontId="65" fillId="2" borderId="7" xfId="6" applyFont="1" applyFill="1" applyBorder="1" applyAlignment="1">
      <alignment horizontal="center" vertical="center" wrapText="1"/>
    </xf>
    <xf numFmtId="0" fontId="65" fillId="2" borderId="8" xfId="6" applyFont="1" applyFill="1" applyBorder="1" applyAlignment="1">
      <alignment horizontal="center" vertical="center" wrapText="1"/>
    </xf>
    <xf numFmtId="0" fontId="65" fillId="2" borderId="2" xfId="6" applyFont="1" applyFill="1" applyBorder="1" applyAlignment="1">
      <alignment horizontal="center" vertical="center" wrapText="1"/>
    </xf>
    <xf numFmtId="0" fontId="65" fillId="2" borderId="9" xfId="6" applyFont="1" applyFill="1" applyBorder="1" applyAlignment="1">
      <alignment horizontal="center" vertical="center" wrapText="1"/>
    </xf>
    <xf numFmtId="0" fontId="64" fillId="2" borderId="4" xfId="6" applyFont="1" applyFill="1" applyBorder="1" applyAlignment="1">
      <alignment horizontal="center" vertical="center"/>
    </xf>
    <xf numFmtId="0" fontId="64" fillId="2" borderId="5" xfId="6" applyFont="1" applyFill="1" applyBorder="1" applyAlignment="1">
      <alignment horizontal="center" vertical="center"/>
    </xf>
    <xf numFmtId="0" fontId="64" fillId="2" borderId="6" xfId="6" applyFont="1" applyFill="1" applyBorder="1" applyAlignment="1">
      <alignment horizontal="center" vertical="center"/>
    </xf>
    <xf numFmtId="0" fontId="64" fillId="2" borderId="7" xfId="6" applyFont="1" applyFill="1" applyBorder="1" applyAlignment="1">
      <alignment horizontal="center" vertical="center"/>
    </xf>
    <xf numFmtId="0" fontId="64" fillId="2" borderId="8" xfId="6" applyFont="1" applyFill="1" applyBorder="1" applyAlignment="1">
      <alignment horizontal="center" vertical="center"/>
    </xf>
    <xf numFmtId="0" fontId="64" fillId="2" borderId="9" xfId="6" applyFont="1" applyFill="1" applyBorder="1" applyAlignment="1">
      <alignment horizontal="center" vertical="center"/>
    </xf>
    <xf numFmtId="178" fontId="17" fillId="2" borderId="29" xfId="3" applyNumberFormat="1" applyFont="1" applyFill="1" applyBorder="1" applyAlignment="1">
      <alignment horizontal="center" vertical="center"/>
    </xf>
    <xf numFmtId="178" fontId="17" fillId="2" borderId="30" xfId="3" applyNumberFormat="1" applyFont="1" applyFill="1" applyBorder="1" applyAlignment="1">
      <alignment horizontal="center" vertical="center"/>
    </xf>
    <xf numFmtId="164" fontId="17" fillId="2" borderId="33" xfId="3" applyNumberFormat="1" applyFont="1" applyFill="1" applyBorder="1" applyAlignment="1" applyProtection="1">
      <alignment horizontal="center" vertical="center"/>
      <protection hidden="1"/>
    </xf>
    <xf numFmtId="164" fontId="17" fillId="2" borderId="34" xfId="3" applyNumberFormat="1" applyFont="1" applyFill="1" applyBorder="1" applyAlignment="1" applyProtection="1">
      <alignment horizontal="center" vertical="center"/>
      <protection hidden="1"/>
    </xf>
    <xf numFmtId="0" fontId="40" fillId="11" borderId="4" xfId="5" applyFont="1" applyFill="1" applyBorder="1" applyAlignment="1">
      <alignment horizontal="center" vertical="center" wrapText="1"/>
    </xf>
    <xf numFmtId="0" fontId="40" fillId="11" borderId="3" xfId="5" applyFont="1" applyFill="1" applyBorder="1" applyAlignment="1">
      <alignment horizontal="center" vertical="center" wrapText="1"/>
    </xf>
    <xf numFmtId="0" fontId="40" fillId="11" borderId="5" xfId="5" applyFont="1" applyFill="1" applyBorder="1" applyAlignment="1">
      <alignment horizontal="center" vertical="center" wrapText="1"/>
    </xf>
    <xf numFmtId="2" fontId="17" fillId="2" borderId="35" xfId="3" applyNumberFormat="1" applyFont="1" applyFill="1" applyBorder="1" applyAlignment="1">
      <alignment horizontal="center" vertical="center"/>
    </xf>
    <xf numFmtId="2" fontId="17" fillId="2" borderId="36" xfId="3" applyNumberFormat="1" applyFont="1" applyFill="1" applyBorder="1" applyAlignment="1">
      <alignment horizontal="center" vertical="center"/>
    </xf>
    <xf numFmtId="2" fontId="17" fillId="2" borderId="37" xfId="3" applyNumberFormat="1" applyFont="1" applyFill="1" applyBorder="1" applyAlignment="1">
      <alignment horizontal="center" vertical="center"/>
    </xf>
    <xf numFmtId="2" fontId="17" fillId="2" borderId="38" xfId="3" applyNumberFormat="1" applyFont="1" applyFill="1" applyBorder="1" applyAlignment="1">
      <alignment horizontal="center" vertical="center"/>
    </xf>
    <xf numFmtId="2" fontId="17" fillId="2" borderId="39" xfId="3" applyNumberFormat="1" applyFont="1" applyFill="1" applyBorder="1" applyAlignment="1">
      <alignment horizontal="center" vertical="center"/>
    </xf>
    <xf numFmtId="2" fontId="17" fillId="2" borderId="40" xfId="3" applyNumberFormat="1" applyFont="1" applyFill="1" applyBorder="1" applyAlignment="1">
      <alignment horizontal="center" vertical="center"/>
    </xf>
    <xf numFmtId="0" fontId="66" fillId="2" borderId="1" xfId="3" applyFont="1" applyFill="1" applyBorder="1" applyAlignment="1">
      <alignment horizontal="center"/>
    </xf>
    <xf numFmtId="0" fontId="66" fillId="2" borderId="3" xfId="3" applyFont="1" applyFill="1" applyBorder="1" applyAlignment="1">
      <alignment horizontal="center"/>
    </xf>
    <xf numFmtId="0" fontId="66" fillId="2" borderId="10" xfId="3" applyFont="1" applyFill="1" applyBorder="1" applyAlignment="1">
      <alignment horizontal="center"/>
    </xf>
    <xf numFmtId="0" fontId="66" fillId="2" borderId="11" xfId="3" applyFont="1" applyFill="1" applyBorder="1" applyAlignment="1">
      <alignment horizontal="center"/>
    </xf>
    <xf numFmtId="0" fontId="66" fillId="2" borderId="12" xfId="3" applyFont="1" applyFill="1" applyBorder="1" applyAlignment="1">
      <alignment horizontal="center"/>
    </xf>
    <xf numFmtId="181" fontId="5" fillId="0" borderId="1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3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7" xr:uid="{00000000-0005-0000-0000-000003000000}"/>
    <cellStyle name="Normal 3 2" xfId="11" xr:uid="{3976F643-75BE-4E31-B2AD-9BB35D9DE4CE}"/>
    <cellStyle name="Normal 4" xfId="1" xr:uid="{00000000-0005-0000-0000-000004000000}"/>
    <cellStyle name="Normal 6" xfId="6" xr:uid="{00000000-0005-0000-0000-000005000000}"/>
    <cellStyle name="Normal 6 2" xfId="8" xr:uid="{00000000-0005-0000-0000-000006000000}"/>
    <cellStyle name="Normal 6 2 2" xfId="12" xr:uid="{377EA88F-E0DA-47E3-BFCB-AB1600DDD727}"/>
    <cellStyle name="Normal 6 3" xfId="10" xr:uid="{73C8865C-1DB3-4A14-AE86-6CDC0E78EA77}"/>
    <cellStyle name="Normal_ENSAYOS" xfId="2" xr:uid="{00000000-0005-0000-0000-000007000000}"/>
    <cellStyle name="Normal_Produc. 07-09-99 2" xfId="5" xr:uid="{00000000-0005-0000-0000-000008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Incertidumbre!$B$63:$B$66</c:f>
              <c:strCache>
                <c:ptCount val="4"/>
                <c:pt idx="0">
                  <c:v>Masa Humeda  y tara</c:v>
                </c:pt>
                <c:pt idx="1">
                  <c:v>Masa Seca y tara</c:v>
                </c:pt>
                <c:pt idx="2">
                  <c:v>Masa Tara</c:v>
                </c:pt>
                <c:pt idx="3">
                  <c:v>factor de presición</c:v>
                </c:pt>
              </c:strCache>
            </c:strRef>
          </c:cat>
          <c:val>
            <c:numRef>
              <c:f>Incertidumbre!$D$63:$D$66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F27-B646-7B61E8A1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57120"/>
        <c:axId val="77591296"/>
      </c:barChart>
      <c:catAx>
        <c:axId val="77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7591296"/>
        <c:crosses val="autoZero"/>
        <c:auto val="1"/>
        <c:lblAlgn val="ctr"/>
        <c:lblOffset val="100"/>
        <c:noMultiLvlLbl val="0"/>
      </c:catAx>
      <c:valAx>
        <c:axId val="7759129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77557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1.xml"/><Relationship Id="rId1" Type="http://schemas.openxmlformats.org/officeDocument/2006/relationships/image" Target="../media/image1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352427</xdr:colOff>
      <xdr:row>40</xdr:row>
      <xdr:rowOff>171451</xdr:rowOff>
    </xdr:from>
    <xdr:to>
      <xdr:col>7</xdr:col>
      <xdr:colOff>419103</xdr:colOff>
      <xdr:row>49</xdr:row>
      <xdr:rowOff>9527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514727" y="8582026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352427</xdr:colOff>
      <xdr:row>40</xdr:row>
      <xdr:rowOff>152400</xdr:rowOff>
    </xdr:from>
    <xdr:to>
      <xdr:col>10</xdr:col>
      <xdr:colOff>552452</xdr:colOff>
      <xdr:row>49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610102" y="8562975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17</xdr:row>
      <xdr:rowOff>108744</xdr:rowOff>
    </xdr:from>
    <xdr:to>
      <xdr:col>25</xdr:col>
      <xdr:colOff>408618</xdr:colOff>
      <xdr:row>19</xdr:row>
      <xdr:rowOff>199945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10" name="2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52985"/>
          <a:ext cx="722947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504825</xdr:colOff>
      <xdr:row>0</xdr:row>
      <xdr:rowOff>57150</xdr:rowOff>
    </xdr:from>
    <xdr:to>
      <xdr:col>7</xdr:col>
      <xdr:colOff>0</xdr:colOff>
      <xdr:row>4</xdr:row>
      <xdr:rowOff>103961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7150"/>
          <a:ext cx="1171575" cy="6945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532995"/>
          <a:ext cx="70218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</xdr:colOff>
      <xdr:row>47</xdr:row>
      <xdr:rowOff>1296</xdr:rowOff>
    </xdr:from>
    <xdr:to>
      <xdr:col>9</xdr:col>
      <xdr:colOff>422845</xdr:colOff>
      <xdr:row>49</xdr:row>
      <xdr:rowOff>43077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41215" y="8895914"/>
          <a:ext cx="1392521" cy="1080872"/>
        </a:xfrm>
        <a:prstGeom prst="rect">
          <a:avLst/>
        </a:prstGeom>
      </xdr:spPr>
    </xdr:pic>
    <xdr:clientData/>
  </xdr:twoCellAnchor>
  <xdr:twoCellAnchor>
    <xdr:from>
      <xdr:col>11</xdr:col>
      <xdr:colOff>387011</xdr:colOff>
      <xdr:row>47</xdr:row>
      <xdr:rowOff>163915</xdr:rowOff>
    </xdr:from>
    <xdr:to>
      <xdr:col>13</xdr:col>
      <xdr:colOff>814049</xdr:colOff>
      <xdr:row>49</xdr:row>
      <xdr:rowOff>119059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506699" y="9061853"/>
          <a:ext cx="1101725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50800</xdr:colOff>
      <xdr:row>47</xdr:row>
      <xdr:rowOff>76200</xdr:rowOff>
    </xdr:from>
    <xdr:to>
      <xdr:col>11</xdr:col>
      <xdr:colOff>348033</xdr:colOff>
      <xdr:row>49</xdr:row>
      <xdr:rowOff>136623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95800" y="89217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214745</xdr:colOff>
      <xdr:row>46</xdr:row>
      <xdr:rowOff>228601</xdr:rowOff>
    </xdr:from>
    <xdr:to>
      <xdr:col>22</xdr:col>
      <xdr:colOff>35189</xdr:colOff>
      <xdr:row>50</xdr:row>
      <xdr:rowOff>84208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880765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39</xdr:row>
      <xdr:rowOff>160972</xdr:rowOff>
    </xdr:from>
    <xdr:to>
      <xdr:col>10</xdr:col>
      <xdr:colOff>739141</xdr:colOff>
      <xdr:row>52</xdr:row>
      <xdr:rowOff>14919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1" y="8123872"/>
          <a:ext cx="8138160" cy="2033267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312337</xdr:colOff>
      <xdr:row>0</xdr:row>
      <xdr:rowOff>44800</xdr:rowOff>
    </xdr:from>
    <xdr:ext cx="1657806" cy="541354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5" t="39537" r="2756" b="30045"/>
        <a:stretch>
          <a:fillRect/>
        </a:stretch>
      </xdr:blipFill>
      <xdr:spPr bwMode="auto">
        <a:xfrm>
          <a:off x="312337" y="44800"/>
          <a:ext cx="1657806" cy="541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24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85726</xdr:colOff>
      <xdr:row>60</xdr:row>
      <xdr:rowOff>57151</xdr:rowOff>
    </xdr:from>
    <xdr:to>
      <xdr:col>7</xdr:col>
      <xdr:colOff>981075</xdr:colOff>
      <xdr:row>69</xdr:row>
      <xdr:rowOff>28575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769620</xdr:colOff>
          <xdr:row>13</xdr:row>
          <xdr:rowOff>83820</xdr:rowOff>
        </xdr:from>
        <xdr:to>
          <xdr:col>6</xdr:col>
          <xdr:colOff>480060</xdr:colOff>
          <xdr:row>17</xdr:row>
          <xdr:rowOff>60960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62802</xdr:colOff>
      <xdr:row>25</xdr:row>
      <xdr:rowOff>104670</xdr:rowOff>
    </xdr:from>
    <xdr:to>
      <xdr:col>4</xdr:col>
      <xdr:colOff>73604</xdr:colOff>
      <xdr:row>36</xdr:row>
      <xdr:rowOff>31401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267" t="7047" r="2519" b="3193"/>
        <a:stretch/>
      </xdr:blipFill>
      <xdr:spPr>
        <a:xfrm>
          <a:off x="62802" y="4469423"/>
          <a:ext cx="3852203" cy="19573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8</xdr:row>
      <xdr:rowOff>17410</xdr:rowOff>
    </xdr:from>
    <xdr:to>
      <xdr:col>15</xdr:col>
      <xdr:colOff>419100</xdr:colOff>
      <xdr:row>11</xdr:row>
      <xdr:rowOff>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1312810"/>
          <a:ext cx="5153025" cy="468457"/>
        </a:xfrm>
        <a:prstGeom prst="rect">
          <a:avLst/>
        </a:prstGeom>
      </xdr:spPr>
    </xdr:pic>
    <xdr:clientData/>
  </xdr:twoCellAnchor>
  <xdr:twoCellAnchor editAs="oneCell">
    <xdr:from>
      <xdr:col>0</xdr:col>
      <xdr:colOff>149312</xdr:colOff>
      <xdr:row>8</xdr:row>
      <xdr:rowOff>19050</xdr:rowOff>
    </xdr:from>
    <xdr:to>
      <xdr:col>8</xdr:col>
      <xdr:colOff>9525</xdr:colOff>
      <xdr:row>10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12" y="1314450"/>
          <a:ext cx="5556163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7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101"/>
  <sheetViews>
    <sheetView showGridLines="0" view="pageBreakPreview" topLeftCell="A13" zoomScaleNormal="100" zoomScaleSheetLayoutView="100" workbookViewId="0">
      <selection activeCell="C34" sqref="C34"/>
    </sheetView>
  </sheetViews>
  <sheetFormatPr baseColWidth="10" defaultColWidth="10.33203125" defaultRowHeight="13.8"/>
  <cols>
    <col min="1" max="1" width="16.33203125" style="15" customWidth="1"/>
    <col min="2" max="2" width="2" style="15" customWidth="1"/>
    <col min="3" max="5" width="9.6640625" style="15" customWidth="1"/>
    <col min="6" max="6" width="6.6640625" style="15" customWidth="1"/>
    <col min="7" max="8" width="9.6640625" style="15" customWidth="1"/>
    <col min="9" max="9" width="8.88671875" style="15" customWidth="1"/>
    <col min="10" max="10" width="1.5546875" style="15" customWidth="1"/>
    <col min="11" max="11" width="13.5546875" style="15" customWidth="1"/>
    <col min="12" max="13" width="6.44140625" style="15" customWidth="1"/>
    <col min="14" max="14" width="8" style="15" customWidth="1"/>
    <col min="15" max="15" width="10.33203125" style="15"/>
    <col min="16" max="16" width="18.33203125" style="15" customWidth="1"/>
    <col min="17" max="17" width="10.33203125" style="15"/>
    <col min="18" max="18" width="12" style="15" bestFit="1" customWidth="1"/>
    <col min="19" max="19" width="11.44140625" style="15" customWidth="1"/>
    <col min="20" max="21" width="10.33203125" style="15"/>
    <col min="22" max="22" width="12.44140625" style="15" customWidth="1"/>
    <col min="23" max="16384" width="10.33203125" style="15"/>
  </cols>
  <sheetData>
    <row r="1" spans="1:18" ht="15.75" customHeight="1">
      <c r="A1" s="13"/>
      <c r="B1" s="13"/>
      <c r="C1" s="13"/>
      <c r="D1" s="14"/>
      <c r="E1" s="14"/>
      <c r="F1" s="14"/>
      <c r="G1" s="14"/>
      <c r="H1" s="14"/>
    </row>
    <row r="2" spans="1:18" ht="15.75" customHeight="1">
      <c r="A2" s="13"/>
      <c r="B2" s="13"/>
      <c r="C2" s="13"/>
      <c r="D2" s="14"/>
      <c r="E2" s="14"/>
      <c r="F2" s="14"/>
      <c r="G2" s="14"/>
      <c r="H2" s="14"/>
    </row>
    <row r="3" spans="1:18" ht="15.75" customHeight="1">
      <c r="A3" s="13"/>
      <c r="B3" s="13"/>
      <c r="C3" s="13"/>
      <c r="D3" s="14"/>
      <c r="E3" s="14"/>
      <c r="F3" s="14"/>
      <c r="G3" s="14"/>
      <c r="H3" s="14"/>
    </row>
    <row r="4" spans="1:18" ht="15.75" customHeight="1">
      <c r="A4" s="13"/>
      <c r="B4" s="13"/>
      <c r="C4" s="13"/>
      <c r="D4" s="14"/>
      <c r="E4" s="14"/>
      <c r="F4" s="14"/>
      <c r="G4" s="14"/>
      <c r="H4" s="14"/>
    </row>
    <row r="5" spans="1:18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8" ht="15.9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8" ht="15.9" customHeight="1">
      <c r="A7" s="572" t="s">
        <v>0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</row>
    <row r="8" spans="1:18" ht="15.9" customHeight="1">
      <c r="A8" s="593">
        <f>K13</f>
        <v>15</v>
      </c>
      <c r="B8" s="593"/>
      <c r="C8" s="593"/>
      <c r="D8" s="593"/>
      <c r="E8" s="593"/>
      <c r="F8" s="593"/>
      <c r="G8" s="593"/>
      <c r="H8" s="593"/>
      <c r="I8" s="593"/>
      <c r="J8" s="593"/>
      <c r="K8" s="593"/>
    </row>
    <row r="9" spans="1:18" ht="15.9" customHeight="1">
      <c r="P9" s="17"/>
    </row>
    <row r="10" spans="1:18" ht="15.9" customHeight="1">
      <c r="A10" s="19" t="s">
        <v>1</v>
      </c>
      <c r="B10" s="20" t="s">
        <v>2</v>
      </c>
      <c r="C10" s="21" t="s">
        <v>3</v>
      </c>
      <c r="D10" s="18"/>
      <c r="E10" s="18"/>
      <c r="F10" s="18"/>
      <c r="G10" s="18"/>
      <c r="H10" s="18"/>
      <c r="I10" s="18"/>
      <c r="J10" s="18"/>
      <c r="K10" s="18"/>
    </row>
    <row r="11" spans="1:18" ht="15.9" customHeight="1">
      <c r="A11" s="19" t="s">
        <v>4</v>
      </c>
      <c r="B11" s="20" t="s">
        <v>2</v>
      </c>
      <c r="C11" s="21" t="s">
        <v>5</v>
      </c>
      <c r="D11" s="22"/>
      <c r="E11" s="22"/>
      <c r="F11" s="22"/>
      <c r="G11" s="22"/>
      <c r="H11" s="22"/>
      <c r="I11" s="23" t="s">
        <v>6</v>
      </c>
      <c r="J11" s="24" t="s">
        <v>2</v>
      </c>
      <c r="K11" s="21" t="s">
        <v>7</v>
      </c>
      <c r="L11" s="25"/>
      <c r="M11" s="25"/>
      <c r="N11" s="25"/>
      <c r="P11" s="26"/>
    </row>
    <row r="12" spans="1:18" ht="15.9" customHeight="1">
      <c r="A12" s="19" t="s">
        <v>8</v>
      </c>
      <c r="B12" s="20" t="s">
        <v>2</v>
      </c>
      <c r="C12" s="21" t="s">
        <v>9</v>
      </c>
      <c r="D12" s="22"/>
      <c r="E12" s="22"/>
      <c r="F12" s="22"/>
      <c r="G12" s="22"/>
      <c r="H12" s="22"/>
      <c r="I12" s="27" t="s">
        <v>10</v>
      </c>
      <c r="J12" s="20" t="s">
        <v>2</v>
      </c>
      <c r="K12" s="28">
        <v>15</v>
      </c>
      <c r="L12" s="25"/>
      <c r="M12" s="25"/>
      <c r="N12" s="25"/>
      <c r="P12" s="29"/>
      <c r="Q12" s="30"/>
      <c r="R12" s="31"/>
    </row>
    <row r="13" spans="1:18" ht="15.9" customHeight="1">
      <c r="A13" s="19" t="s">
        <v>11</v>
      </c>
      <c r="B13" s="20" t="s">
        <v>2</v>
      </c>
      <c r="C13" s="21" t="s">
        <v>12</v>
      </c>
      <c r="D13" s="22"/>
      <c r="E13" s="22"/>
      <c r="F13" s="22"/>
      <c r="G13" s="22"/>
      <c r="H13" s="22"/>
      <c r="I13" s="27" t="s">
        <v>13</v>
      </c>
      <c r="J13" s="20" t="s">
        <v>2</v>
      </c>
      <c r="K13" s="32">
        <v>15</v>
      </c>
      <c r="L13" s="25"/>
      <c r="M13" s="25"/>
      <c r="N13" s="25"/>
      <c r="Q13" s="584"/>
      <c r="R13" s="584"/>
    </row>
    <row r="14" spans="1:18" ht="15.9" customHeight="1">
      <c r="A14" s="167" t="s">
        <v>14</v>
      </c>
      <c r="B14" s="20"/>
      <c r="C14" s="33"/>
      <c r="D14" s="33"/>
      <c r="E14" s="33"/>
      <c r="F14" s="33"/>
      <c r="G14" s="33"/>
      <c r="H14" s="33"/>
      <c r="I14" s="27"/>
      <c r="J14" s="20"/>
      <c r="K14" s="34"/>
      <c r="L14" s="25"/>
      <c r="M14" s="25"/>
      <c r="N14" s="25"/>
      <c r="Q14" s="321"/>
      <c r="R14" s="321"/>
    </row>
    <row r="15" spans="1:18" ht="18" customHeight="1">
      <c r="A15" s="585" t="s">
        <v>15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7"/>
      <c r="L15" s="25"/>
      <c r="M15" s="25"/>
      <c r="N15" s="25"/>
      <c r="Q15" s="321"/>
      <c r="R15" s="321"/>
    </row>
    <row r="16" spans="1:18" ht="18" customHeight="1">
      <c r="A16" s="590" t="s">
        <v>16</v>
      </c>
      <c r="B16" s="591"/>
      <c r="C16" s="591"/>
      <c r="D16" s="591"/>
      <c r="E16" s="591"/>
      <c r="F16" s="591"/>
      <c r="G16" s="591"/>
      <c r="H16" s="591"/>
      <c r="I16" s="591"/>
      <c r="J16" s="591"/>
      <c r="K16" s="592"/>
      <c r="L16" s="25"/>
      <c r="M16" s="25"/>
      <c r="N16" s="25"/>
      <c r="Q16" s="321"/>
      <c r="R16" s="321"/>
    </row>
    <row r="17" spans="1:26" ht="11.25" customHeight="1">
      <c r="A17" s="573" t="s">
        <v>17</v>
      </c>
      <c r="B17" s="574"/>
      <c r="C17" s="36"/>
      <c r="D17" s="36"/>
      <c r="E17" s="36"/>
      <c r="F17" s="36"/>
      <c r="G17" s="36"/>
      <c r="H17" s="36"/>
      <c r="I17" s="37"/>
      <c r="J17" s="35"/>
      <c r="K17" s="38"/>
      <c r="L17" s="25"/>
      <c r="M17" s="25"/>
      <c r="N17" s="25"/>
      <c r="Q17" s="321"/>
      <c r="R17" s="321"/>
    </row>
    <row r="18" spans="1:26" ht="15.9" customHeight="1">
      <c r="A18" s="575"/>
      <c r="B18" s="576"/>
      <c r="C18" s="39"/>
      <c r="D18" s="39"/>
      <c r="E18" s="39"/>
      <c r="F18" s="39"/>
      <c r="G18" s="39"/>
      <c r="H18" s="39"/>
      <c r="I18" s="43" t="s">
        <v>18</v>
      </c>
      <c r="J18" s="44" t="s">
        <v>2</v>
      </c>
      <c r="K18" s="45">
        <v>83</v>
      </c>
      <c r="M18" s="25"/>
      <c r="N18" s="25"/>
      <c r="P18" s="78" t="s">
        <v>19</v>
      </c>
      <c r="Q18" s="79"/>
      <c r="R18" s="80"/>
      <c r="S18" s="81"/>
      <c r="T18" s="82"/>
      <c r="U18" s="80"/>
      <c r="V18" s="83"/>
      <c r="W18" s="83"/>
      <c r="X18" s="83"/>
      <c r="Y18" s="83"/>
      <c r="Z18" s="84"/>
    </row>
    <row r="19" spans="1:26" ht="15.9" customHeight="1">
      <c r="A19" s="40" t="s">
        <v>20</v>
      </c>
      <c r="B19" s="41" t="s">
        <v>2</v>
      </c>
      <c r="C19" s="21" t="s">
        <v>21</v>
      </c>
      <c r="D19" s="41"/>
      <c r="E19" s="42"/>
      <c r="F19" s="21"/>
      <c r="G19" s="21"/>
      <c r="H19" s="42"/>
      <c r="I19" s="43" t="s">
        <v>22</v>
      </c>
      <c r="J19" s="44" t="s">
        <v>2</v>
      </c>
      <c r="K19" s="46">
        <v>43831</v>
      </c>
      <c r="M19" s="25"/>
      <c r="N19" s="25"/>
      <c r="P19" s="85" t="s">
        <v>23</v>
      </c>
      <c r="Q19" s="86"/>
      <c r="R19" s="87" t="s">
        <v>24</v>
      </c>
      <c r="S19" s="87"/>
      <c r="T19" s="88"/>
      <c r="U19" s="87"/>
      <c r="V19" s="89"/>
      <c r="W19" s="89"/>
      <c r="X19" s="89"/>
      <c r="Y19" s="89"/>
      <c r="Z19" s="90"/>
    </row>
    <row r="20" spans="1:26" ht="15.9" customHeight="1">
      <c r="A20" s="40" t="s">
        <v>25</v>
      </c>
      <c r="B20" s="41" t="s">
        <v>2</v>
      </c>
      <c r="C20" s="21" t="s">
        <v>26</v>
      </c>
      <c r="D20" s="41"/>
      <c r="E20" s="42"/>
      <c r="F20" s="21"/>
      <c r="G20" s="21"/>
      <c r="H20" s="42"/>
      <c r="I20" s="43" t="s">
        <v>27</v>
      </c>
      <c r="J20" s="44" t="s">
        <v>2</v>
      </c>
      <c r="K20" s="46">
        <v>43844</v>
      </c>
      <c r="M20" s="25"/>
      <c r="N20" s="25"/>
      <c r="P20" s="91" t="s">
        <v>28</v>
      </c>
      <c r="Q20" s="86"/>
      <c r="R20" s="128">
        <v>5.1699999999999998E-7</v>
      </c>
      <c r="S20" s="92"/>
      <c r="T20" s="88"/>
      <c r="U20" s="87"/>
      <c r="V20" s="89"/>
      <c r="W20" s="89"/>
      <c r="X20" s="89"/>
      <c r="Y20" s="89"/>
      <c r="Z20" s="90"/>
    </row>
    <row r="21" spans="1:26" ht="15.9" customHeight="1">
      <c r="A21" s="40" t="s">
        <v>29</v>
      </c>
      <c r="B21" s="41" t="s">
        <v>2</v>
      </c>
      <c r="C21" s="21" t="s">
        <v>30</v>
      </c>
      <c r="D21" s="41"/>
      <c r="E21" s="42"/>
      <c r="F21" s="21"/>
      <c r="G21" s="21"/>
      <c r="H21" s="42"/>
      <c r="I21" s="43" t="s">
        <v>31</v>
      </c>
      <c r="J21" s="44" t="s">
        <v>2</v>
      </c>
      <c r="K21" s="46">
        <v>43845</v>
      </c>
      <c r="M21" s="25"/>
      <c r="N21" s="25"/>
      <c r="P21" s="93" t="s">
        <v>32</v>
      </c>
      <c r="Q21" s="616">
        <v>44090</v>
      </c>
      <c r="R21" s="616"/>
      <c r="S21" s="94"/>
      <c r="T21" s="95"/>
      <c r="U21" s="94"/>
      <c r="V21" s="96"/>
      <c r="W21" s="96"/>
      <c r="X21" s="96"/>
      <c r="Y21" s="96"/>
      <c r="Z21" s="97"/>
    </row>
    <row r="22" spans="1:26" ht="15" customHeight="1">
      <c r="A22" s="155" t="s">
        <v>33</v>
      </c>
      <c r="B22" s="156" t="s">
        <v>2</v>
      </c>
      <c r="C22" s="157" t="s">
        <v>34</v>
      </c>
      <c r="D22" s="47"/>
      <c r="E22" s="47"/>
      <c r="F22" s="47"/>
      <c r="G22" s="47"/>
      <c r="H22" s="47"/>
      <c r="I22" s="47"/>
      <c r="J22" s="47"/>
      <c r="K22" s="48"/>
      <c r="M22" s="25"/>
      <c r="N22" s="25"/>
      <c r="P22"/>
      <c r="Q22"/>
      <c r="R22"/>
      <c r="T22"/>
      <c r="U22"/>
      <c r="V22"/>
      <c r="W22"/>
      <c r="X22"/>
      <c r="Y22"/>
      <c r="Z22"/>
    </row>
    <row r="23" spans="1:26" ht="13.5" customHeight="1" thickBot="1">
      <c r="A23" s="168"/>
      <c r="B23" s="594"/>
      <c r="C23" s="594"/>
      <c r="D23" s="323"/>
      <c r="E23" s="323"/>
      <c r="F23" s="323"/>
      <c r="G23" s="323"/>
      <c r="H23" s="323"/>
      <c r="I23" s="594"/>
      <c r="J23" s="594"/>
      <c r="K23" s="168"/>
      <c r="L23" s="25"/>
      <c r="M23" s="49"/>
      <c r="N23" s="49"/>
    </row>
    <row r="24" spans="1:26" ht="17.25" customHeight="1">
      <c r="A24" s="171"/>
      <c r="B24" s="50" t="s">
        <v>35</v>
      </c>
      <c r="C24" s="143"/>
      <c r="D24" s="143"/>
      <c r="E24" s="144"/>
      <c r="F24" s="145"/>
      <c r="G24" s="146" t="s">
        <v>36</v>
      </c>
      <c r="H24" s="158">
        <f>+R24</f>
        <v>1</v>
      </c>
      <c r="I24" s="588"/>
      <c r="J24" s="588"/>
      <c r="K24" s="322"/>
      <c r="L24" s="25"/>
      <c r="M24" s="54"/>
      <c r="N24" s="55"/>
      <c r="P24" s="50" t="s">
        <v>35</v>
      </c>
      <c r="Q24" s="53" t="s">
        <v>36</v>
      </c>
      <c r="R24" s="56">
        <v>1</v>
      </c>
      <c r="S24" s="577" t="s">
        <v>37</v>
      </c>
      <c r="U24" s="56">
        <v>2</v>
      </c>
      <c r="V24" s="577" t="s">
        <v>37</v>
      </c>
      <c r="W24" s="612" t="s">
        <v>38</v>
      </c>
      <c r="X24" s="612"/>
      <c r="Y24" s="612"/>
      <c r="Z24" s="613"/>
    </row>
    <row r="25" spans="1:26" ht="17.25" customHeight="1" thickBot="1">
      <c r="A25" s="171"/>
      <c r="B25" s="50" t="s">
        <v>39</v>
      </c>
      <c r="C25" s="141"/>
      <c r="D25" s="141"/>
      <c r="E25" s="51"/>
      <c r="F25" s="52"/>
      <c r="G25" s="53" t="s">
        <v>36</v>
      </c>
      <c r="H25" s="58">
        <f>+R25</f>
        <v>1</v>
      </c>
      <c r="I25" s="588"/>
      <c r="J25" s="588"/>
      <c r="K25" s="322"/>
      <c r="L25" s="25"/>
      <c r="M25" s="54"/>
      <c r="N25" s="55"/>
      <c r="P25" s="57" t="s">
        <v>39</v>
      </c>
      <c r="Q25" s="53" t="s">
        <v>36</v>
      </c>
      <c r="R25" s="59">
        <v>1</v>
      </c>
      <c r="S25" s="577"/>
      <c r="U25" s="59">
        <v>2</v>
      </c>
      <c r="V25" s="577"/>
      <c r="W25" s="614"/>
      <c r="X25" s="614"/>
      <c r="Y25" s="614"/>
      <c r="Z25" s="615"/>
    </row>
    <row r="26" spans="1:26" ht="17.25" customHeight="1">
      <c r="A26" s="171"/>
      <c r="B26" s="50" t="s">
        <v>40</v>
      </c>
      <c r="C26" s="141"/>
      <c r="D26" s="141"/>
      <c r="E26" s="51"/>
      <c r="F26" s="52"/>
      <c r="G26" s="53" t="s">
        <v>41</v>
      </c>
      <c r="H26" s="64">
        <f>S26</f>
        <v>794.6995891401001</v>
      </c>
      <c r="I26" s="589"/>
      <c r="J26" s="589"/>
      <c r="K26" s="169"/>
      <c r="L26" s="60"/>
      <c r="M26" s="54"/>
      <c r="N26" s="55"/>
      <c r="P26" s="57" t="s">
        <v>42</v>
      </c>
      <c r="Q26" s="53" t="s">
        <v>41</v>
      </c>
      <c r="R26" s="59">
        <v>794.7</v>
      </c>
      <c r="S26" s="129">
        <f>R26-($R$20*R26)</f>
        <v>794.6995891401001</v>
      </c>
      <c r="U26" s="59">
        <v>793.7</v>
      </c>
      <c r="V26" s="129">
        <f>U26-($R$20*U26)</f>
        <v>793.69958965710009</v>
      </c>
    </row>
    <row r="27" spans="1:26" ht="17.25" customHeight="1">
      <c r="A27" s="171"/>
      <c r="B27" s="50" t="s">
        <v>43</v>
      </c>
      <c r="C27" s="141"/>
      <c r="D27" s="141"/>
      <c r="E27" s="51"/>
      <c r="F27" s="52"/>
      <c r="G27" s="53" t="s">
        <v>41</v>
      </c>
      <c r="H27" s="64">
        <f>S27</f>
        <v>775.79959891139993</v>
      </c>
      <c r="I27" s="61"/>
      <c r="J27" s="61"/>
      <c r="K27" s="61"/>
      <c r="L27" s="25"/>
      <c r="M27" s="25"/>
      <c r="N27" s="25"/>
      <c r="P27" s="57" t="s">
        <v>44</v>
      </c>
      <c r="Q27" s="53" t="s">
        <v>41</v>
      </c>
      <c r="R27" s="59">
        <v>775.8</v>
      </c>
      <c r="S27" s="129">
        <f>R27-($R$20*R27)</f>
        <v>775.79959891139993</v>
      </c>
      <c r="U27" s="59">
        <v>775.8</v>
      </c>
      <c r="V27" s="129">
        <f>U27-($R$20*U27)</f>
        <v>775.79959891139993</v>
      </c>
    </row>
    <row r="28" spans="1:26" ht="17.25" customHeight="1">
      <c r="A28" s="171"/>
      <c r="B28" s="50" t="s">
        <v>45</v>
      </c>
      <c r="C28" s="141"/>
      <c r="D28" s="141"/>
      <c r="E28" s="51"/>
      <c r="F28" s="52"/>
      <c r="G28" s="53" t="s">
        <v>41</v>
      </c>
      <c r="H28" s="64">
        <f t="shared" ref="H28:H29" si="0">S28</f>
        <v>775.79959891139993</v>
      </c>
      <c r="I28" s="61"/>
      <c r="J28" s="61"/>
      <c r="K28" s="61"/>
      <c r="L28" s="25"/>
      <c r="M28" s="25"/>
      <c r="N28" s="25"/>
      <c r="P28" s="57" t="s">
        <v>46</v>
      </c>
      <c r="Q28" s="53" t="s">
        <v>41</v>
      </c>
      <c r="R28" s="59">
        <v>775.8</v>
      </c>
      <c r="S28" s="129">
        <f t="shared" ref="S28:S29" si="1">R28-($R$20*R28)</f>
        <v>775.79959891139993</v>
      </c>
      <c r="U28" s="59">
        <v>775.8</v>
      </c>
      <c r="V28" s="129">
        <f t="shared" ref="V28:V29" si="2">U28-($R$20*U28)</f>
        <v>775.79959891139993</v>
      </c>
    </row>
    <row r="29" spans="1:26" ht="17.25" customHeight="1">
      <c r="A29" s="171"/>
      <c r="B29" s="50" t="s">
        <v>47</v>
      </c>
      <c r="C29" s="141"/>
      <c r="D29" s="141"/>
      <c r="E29" s="51"/>
      <c r="F29" s="52"/>
      <c r="G29" s="53" t="s">
        <v>41</v>
      </c>
      <c r="H29" s="64">
        <f t="shared" si="0"/>
        <v>775.79959891139993</v>
      </c>
      <c r="I29" s="61"/>
      <c r="J29" s="61"/>
      <c r="K29" s="61"/>
      <c r="L29" s="25"/>
      <c r="M29" s="25"/>
      <c r="N29" s="25"/>
      <c r="P29" s="57" t="s">
        <v>48</v>
      </c>
      <c r="Q29" s="53" t="s">
        <v>41</v>
      </c>
      <c r="R29" s="59">
        <v>775.8</v>
      </c>
      <c r="S29" s="129">
        <f t="shared" si="1"/>
        <v>775.79959891139993</v>
      </c>
      <c r="U29" s="59">
        <v>775.8</v>
      </c>
      <c r="V29" s="129">
        <f t="shared" si="2"/>
        <v>775.79959891139993</v>
      </c>
    </row>
    <row r="30" spans="1:26" ht="17.25" customHeight="1">
      <c r="A30" s="171"/>
      <c r="B30" s="50" t="s">
        <v>49</v>
      </c>
      <c r="C30" s="141"/>
      <c r="D30" s="141"/>
      <c r="E30" s="51"/>
      <c r="F30" s="52"/>
      <c r="G30" s="53" t="s">
        <v>41</v>
      </c>
      <c r="H30" s="63">
        <f>+H26-H29</f>
        <v>18.899990228700176</v>
      </c>
      <c r="I30" s="61"/>
      <c r="J30" s="61"/>
      <c r="K30" s="61"/>
      <c r="L30" s="25"/>
      <c r="M30" s="25"/>
      <c r="N30" s="25"/>
      <c r="P30" s="57" t="s">
        <v>50</v>
      </c>
      <c r="Q30" s="53" t="s">
        <v>41</v>
      </c>
      <c r="R30" s="63">
        <f>+R26-R29</f>
        <v>18.900000000000091</v>
      </c>
      <c r="S30" s="130">
        <f>+S26-S29</f>
        <v>18.899990228700176</v>
      </c>
      <c r="U30" s="63">
        <f>+U26-U29</f>
        <v>17.900000000000091</v>
      </c>
      <c r="V30" s="130">
        <f>+V26-V29</f>
        <v>17.899990745700165</v>
      </c>
    </row>
    <row r="31" spans="1:26" ht="17.25" customHeight="1">
      <c r="A31" s="171"/>
      <c r="B31" s="50" t="s">
        <v>51</v>
      </c>
      <c r="C31" s="141"/>
      <c r="D31" s="141"/>
      <c r="E31" s="51"/>
      <c r="F31" s="52"/>
      <c r="G31" s="53" t="s">
        <v>41</v>
      </c>
      <c r="H31" s="64">
        <f>S31</f>
        <v>163.1999156256</v>
      </c>
      <c r="I31" s="61"/>
      <c r="J31" s="61"/>
      <c r="K31" s="61"/>
      <c r="L31" s="25"/>
      <c r="M31" s="25"/>
      <c r="N31" s="25"/>
      <c r="P31" s="57" t="s">
        <v>52</v>
      </c>
      <c r="Q31" s="53" t="s">
        <v>41</v>
      </c>
      <c r="R31" s="65">
        <v>163.19999999999999</v>
      </c>
      <c r="S31" s="129">
        <f>R31-($R$20*R31)</f>
        <v>163.1999156256</v>
      </c>
      <c r="U31" s="65">
        <v>163.19999999999999</v>
      </c>
      <c r="V31" s="129">
        <f>U31-($R$20*U31)</f>
        <v>163.1999156256</v>
      </c>
    </row>
    <row r="32" spans="1:26" ht="17.25" customHeight="1">
      <c r="A32" s="62"/>
      <c r="B32" s="50" t="s">
        <v>53</v>
      </c>
      <c r="C32" s="141"/>
      <c r="D32" s="141"/>
      <c r="E32" s="51"/>
      <c r="F32" s="52"/>
      <c r="G32" s="53" t="s">
        <v>41</v>
      </c>
      <c r="H32" s="63">
        <f>+H29-H31</f>
        <v>612.59968328579998</v>
      </c>
      <c r="I32" s="148"/>
      <c r="J32" s="61"/>
      <c r="K32" s="61"/>
      <c r="L32" s="25"/>
      <c r="M32" s="25"/>
      <c r="N32" s="25"/>
      <c r="P32" s="57" t="s">
        <v>54</v>
      </c>
      <c r="Q32" s="53" t="s">
        <v>41</v>
      </c>
      <c r="R32" s="63">
        <f>+R29-R31</f>
        <v>612.59999999999991</v>
      </c>
      <c r="S32" s="130">
        <f>+S29-S31</f>
        <v>612.59968328579998</v>
      </c>
      <c r="U32" s="63">
        <f>+U29-U31</f>
        <v>612.59999999999991</v>
      </c>
      <c r="V32" s="130">
        <f>+V29-V31</f>
        <v>612.59968328579998</v>
      </c>
    </row>
    <row r="33" spans="1:22" ht="17.25" customHeight="1">
      <c r="A33" s="171"/>
      <c r="B33" s="142" t="s">
        <v>55</v>
      </c>
      <c r="C33" s="143"/>
      <c r="D33" s="143"/>
      <c r="E33" s="144"/>
      <c r="F33" s="145"/>
      <c r="G33" s="146" t="s">
        <v>56</v>
      </c>
      <c r="H33" s="147">
        <f>ROUND(S33,0)</f>
        <v>3</v>
      </c>
      <c r="I33" s="61"/>
      <c r="J33" s="61"/>
      <c r="K33" s="61"/>
      <c r="L33" s="25"/>
      <c r="M33" s="25"/>
      <c r="N33" s="25"/>
      <c r="P33" s="57" t="s">
        <v>57</v>
      </c>
      <c r="Q33" s="53" t="s">
        <v>56</v>
      </c>
      <c r="R33" s="66">
        <f>+R30/R32*100</f>
        <v>3.0852105778648538</v>
      </c>
      <c r="S33" s="131">
        <f>+S30/S32*100</f>
        <v>3.0852105778648671</v>
      </c>
      <c r="U33" s="66">
        <f>+U30/U32*100</f>
        <v>2.9219719229513701</v>
      </c>
      <c r="V33" s="131">
        <f>+V30/V32*100</f>
        <v>2.9219719229513821</v>
      </c>
    </row>
    <row r="34" spans="1:22" ht="15.9" customHeight="1">
      <c r="B34" s="68" t="s">
        <v>58</v>
      </c>
      <c r="J34" s="61"/>
      <c r="K34" s="61"/>
      <c r="L34" s="25"/>
      <c r="M34" s="25"/>
      <c r="N34" s="25"/>
      <c r="P34" s="578" t="s">
        <v>59</v>
      </c>
      <c r="Q34" s="579"/>
      <c r="R34" s="582" t="s">
        <v>60</v>
      </c>
      <c r="S34" s="582" t="s">
        <v>61</v>
      </c>
      <c r="T34" s="132"/>
      <c r="U34" s="132"/>
      <c r="V34" s="132"/>
    </row>
    <row r="35" spans="1:22" ht="2.25" customHeight="1">
      <c r="J35" s="61"/>
      <c r="K35" s="61"/>
      <c r="L35" s="25"/>
      <c r="M35" s="25"/>
      <c r="N35" s="25"/>
      <c r="P35" s="580"/>
      <c r="Q35" s="581"/>
      <c r="R35" s="583"/>
      <c r="S35" s="583"/>
      <c r="T35" s="133"/>
      <c r="U35" s="132"/>
      <c r="V35" s="132"/>
    </row>
    <row r="36" spans="1:22" ht="15.9" customHeight="1">
      <c r="A36" s="170" t="s">
        <v>62</v>
      </c>
      <c r="B36" s="159"/>
      <c r="C36" s="159"/>
      <c r="D36" s="160"/>
      <c r="E36" s="161"/>
      <c r="F36" s="160"/>
      <c r="G36" s="162"/>
      <c r="H36" s="162"/>
      <c r="I36" s="163"/>
      <c r="J36" s="61"/>
      <c r="K36" s="61"/>
      <c r="L36" s="25"/>
      <c r="M36" s="25"/>
      <c r="N36" s="25"/>
      <c r="P36" s="103" t="s">
        <v>63</v>
      </c>
      <c r="Q36" s="104" t="s">
        <v>64</v>
      </c>
      <c r="R36" s="103" t="s">
        <v>65</v>
      </c>
      <c r="S36" s="105"/>
      <c r="T36" s="134"/>
      <c r="U36"/>
      <c r="V36" s="98"/>
    </row>
    <row r="37" spans="1:22" ht="15.9" customHeight="1">
      <c r="A37" s="164" t="s">
        <v>66</v>
      </c>
      <c r="B37" s="164"/>
      <c r="C37" s="164"/>
      <c r="D37" s="164"/>
      <c r="E37" s="164"/>
      <c r="F37" s="165"/>
      <c r="G37" s="165"/>
      <c r="H37" s="152"/>
      <c r="I37" s="166" t="s">
        <v>67</v>
      </c>
      <c r="J37" s="61"/>
      <c r="K37" s="61"/>
      <c r="L37" s="25"/>
      <c r="M37" s="25"/>
      <c r="N37" s="25"/>
      <c r="P37" s="103" t="s">
        <v>68</v>
      </c>
      <c r="Q37" s="104" t="s">
        <v>69</v>
      </c>
      <c r="R37" s="103" t="s">
        <v>70</v>
      </c>
      <c r="S37" s="105"/>
      <c r="T37" s="134"/>
      <c r="U37" s="135"/>
      <c r="V37" s="135"/>
    </row>
    <row r="38" spans="1:22" ht="14.25" customHeight="1">
      <c r="A38" s="164" t="s">
        <v>71</v>
      </c>
      <c r="B38" s="164"/>
      <c r="C38" s="164"/>
      <c r="D38" s="164"/>
      <c r="E38" s="164"/>
      <c r="F38" s="165"/>
      <c r="G38" s="165"/>
      <c r="H38" s="152"/>
      <c r="I38" s="166" t="s">
        <v>67</v>
      </c>
      <c r="J38" s="61"/>
      <c r="K38" s="61"/>
      <c r="L38" s="25"/>
      <c r="M38" s="25"/>
      <c r="N38" s="25"/>
      <c r="P38" s="598" t="s">
        <v>72</v>
      </c>
      <c r="Q38" s="108">
        <v>0.375</v>
      </c>
      <c r="R38" s="103" t="s">
        <v>73</v>
      </c>
      <c r="S38" s="140" t="s">
        <v>74</v>
      </c>
      <c r="T38" s="134"/>
      <c r="U38" s="135"/>
      <c r="V38" s="135"/>
    </row>
    <row r="39" spans="1:22" ht="14.25" customHeight="1">
      <c r="A39" s="595" t="s">
        <v>75</v>
      </c>
      <c r="B39" s="595"/>
      <c r="C39" s="595"/>
      <c r="D39" s="595"/>
      <c r="E39" s="595"/>
      <c r="F39" s="595"/>
      <c r="G39" s="595"/>
      <c r="H39" s="596"/>
      <c r="I39" s="166" t="s">
        <v>67</v>
      </c>
      <c r="J39" s="61"/>
      <c r="K39" s="61"/>
      <c r="L39" s="25"/>
      <c r="M39" s="25"/>
      <c r="N39" s="25"/>
      <c r="P39" s="599"/>
      <c r="Q39" s="108">
        <v>0.75</v>
      </c>
      <c r="R39" s="103" t="s">
        <v>76</v>
      </c>
      <c r="S39" s="105"/>
      <c r="T39" s="134"/>
      <c r="U39" s="135"/>
      <c r="V39" s="135"/>
    </row>
    <row r="40" spans="1:22" ht="8.25" customHeight="1">
      <c r="A40" s="125"/>
      <c r="B40" s="126"/>
      <c r="C40" s="126"/>
      <c r="D40" s="126"/>
      <c r="E40" s="126"/>
      <c r="F40" s="126"/>
      <c r="G40" s="127"/>
      <c r="H40" s="127"/>
      <c r="I40" s="127"/>
      <c r="L40" s="25"/>
      <c r="M40" s="25"/>
      <c r="N40" s="25"/>
      <c r="P40" s="599"/>
      <c r="Q40" s="108">
        <v>1.5</v>
      </c>
      <c r="R40" s="103" t="s">
        <v>77</v>
      </c>
      <c r="S40" s="105"/>
      <c r="T40" s="134"/>
      <c r="U40" s="135"/>
      <c r="V40" s="135"/>
    </row>
    <row r="41" spans="1:22" ht="15.9" customHeight="1">
      <c r="A41" s="69" t="s">
        <v>78</v>
      </c>
      <c r="B41" s="126"/>
      <c r="C41" s="126"/>
      <c r="D41" s="126"/>
      <c r="E41" s="126"/>
      <c r="F41" s="126"/>
      <c r="G41" s="126"/>
      <c r="H41" s="126"/>
      <c r="I41" s="126"/>
      <c r="L41" s="25"/>
      <c r="M41" s="25"/>
      <c r="N41" s="25"/>
      <c r="P41" s="600"/>
      <c r="Q41" s="104">
        <v>3</v>
      </c>
      <c r="R41" s="103" t="s">
        <v>79</v>
      </c>
      <c r="S41" s="111"/>
      <c r="T41" s="134"/>
      <c r="U41" s="135"/>
      <c r="V41" s="135"/>
    </row>
    <row r="42" spans="1:22" ht="12" customHeight="1">
      <c r="A42" s="153" t="s">
        <v>80</v>
      </c>
      <c r="B42"/>
      <c r="D42" s="150" t="s">
        <v>30</v>
      </c>
      <c r="E42" s="126"/>
      <c r="F42" s="126"/>
      <c r="G42" s="126"/>
      <c r="H42" s="126"/>
      <c r="I42" s="126"/>
      <c r="L42" s="25"/>
      <c r="M42" s="25"/>
      <c r="N42" s="25"/>
      <c r="P42" s="112"/>
      <c r="Q42" s="112"/>
      <c r="R42" s="113" t="s">
        <v>81</v>
      </c>
      <c r="S42" s="114" t="str">
        <f>IF(AND(S36="",S37="",S38="",S39="",S40="",S41=""),"",IF(S36&lt;&gt;"","N°10",IF(S37&lt;&gt;"","N°4",IF(S38&lt;&gt;"","3/8",IF(S39&lt;&gt;"","3/4",IF(S40&lt;&gt;"","1 1/2","3"))))))</f>
        <v>3/8</v>
      </c>
      <c r="T42" s="136"/>
      <c r="U42" s="137"/>
      <c r="V42" s="137"/>
    </row>
    <row r="43" spans="1:22" ht="12" customHeight="1">
      <c r="A43" s="153" t="s">
        <v>82</v>
      </c>
      <c r="B43"/>
      <c r="D43" s="150" t="s">
        <v>83</v>
      </c>
      <c r="E43" s="67"/>
      <c r="F43" s="67"/>
      <c r="G43" s="67"/>
      <c r="H43" s="61"/>
      <c r="I43" s="61"/>
      <c r="J43" s="61"/>
      <c r="K43" s="61"/>
      <c r="L43" s="25"/>
      <c r="M43" s="25"/>
      <c r="N43" s="25"/>
      <c r="P43" s="112"/>
      <c r="Q43" s="112"/>
      <c r="R43" s="115" t="s">
        <v>84</v>
      </c>
      <c r="S43" s="116">
        <f>IF(S42="","",IF(S42="3",50000,IF(S42="1 1/2",10000,IF(S42="3/4",2500,IF(S42="3/8",500,IF(S42="N°4",100,20))))))</f>
        <v>500</v>
      </c>
      <c r="U43" s="99"/>
      <c r="V43" s="98"/>
    </row>
    <row r="44" spans="1:22" ht="12" customHeight="1">
      <c r="A44" s="153" t="s">
        <v>85</v>
      </c>
      <c r="B44"/>
      <c r="D44" s="151" t="str">
        <f>$S$42</f>
        <v>3/8</v>
      </c>
      <c r="E44" s="67"/>
      <c r="F44" s="67"/>
      <c r="G44" s="67"/>
      <c r="H44" s="61"/>
      <c r="I44" s="61"/>
      <c r="J44" s="61"/>
      <c r="K44" s="61"/>
      <c r="L44" s="25"/>
      <c r="M44" s="25"/>
      <c r="N44" s="25"/>
      <c r="P44" s="118"/>
      <c r="Q44" s="118"/>
      <c r="R44" s="119" t="s">
        <v>86</v>
      </c>
      <c r="S44" s="120">
        <f>IF(S42="","",IF(S42="3",5000,IF(S42="1 1/2",1000,IF(S42="3/4",250,IF(S42="3/8",50,IF(S42="N°4",20,20))))))</f>
        <v>50</v>
      </c>
      <c r="T44" s="86"/>
      <c r="U44" s="100"/>
      <c r="V44" s="101"/>
    </row>
    <row r="45" spans="1:22" ht="12" customHeight="1">
      <c r="A45" s="153" t="s">
        <v>87</v>
      </c>
      <c r="B45" s="149"/>
      <c r="D45" s="151" t="s">
        <v>88</v>
      </c>
      <c r="E45" s="67"/>
      <c r="F45" s="67"/>
      <c r="G45" s="67"/>
      <c r="H45" s="61"/>
      <c r="I45" s="61"/>
      <c r="J45" s="61"/>
      <c r="K45" s="61"/>
      <c r="L45" s="25"/>
      <c r="M45" s="25"/>
      <c r="N45" s="25"/>
      <c r="P45" s="112"/>
      <c r="Q45" s="121"/>
      <c r="R45" s="138" t="s">
        <v>89</v>
      </c>
      <c r="S45" s="123">
        <v>1E-3</v>
      </c>
      <c r="T45" s="86"/>
      <c r="U45" s="102"/>
      <c r="V45" s="597"/>
    </row>
    <row r="46" spans="1:22" ht="15.9" customHeight="1">
      <c r="C46" s="42"/>
      <c r="D46" s="67"/>
      <c r="E46" s="67"/>
      <c r="F46" s="67"/>
      <c r="G46" s="67"/>
      <c r="H46" s="61"/>
      <c r="I46" s="61"/>
      <c r="J46" s="61"/>
      <c r="K46" s="61"/>
      <c r="L46" s="25"/>
      <c r="M46" s="25"/>
      <c r="N46" s="25"/>
      <c r="P46" s="122"/>
      <c r="Q46" s="122"/>
      <c r="R46" s="138" t="s">
        <v>90</v>
      </c>
      <c r="S46" s="139" t="str">
        <f>IF(R26="","",IF(AND(S36="",S37="",S38="",S39="",S40="",S41=""),"Falta Especificar Tmax",IF(R26="","",IF(R26-R31&gt;=S43,"Cumple",IF(R26-R31&gt;=S44,"Cumple","No cumple")))))</f>
        <v>Cumple</v>
      </c>
      <c r="T46" s="86"/>
      <c r="U46" s="106"/>
      <c r="V46" s="597"/>
    </row>
    <row r="47" spans="1:22" ht="12.75" customHeight="1">
      <c r="A47" s="154" t="s">
        <v>91</v>
      </c>
      <c r="B47" s="67"/>
      <c r="C47" s="67"/>
      <c r="D47" s="67"/>
      <c r="E47" s="67"/>
      <c r="F47" s="67"/>
      <c r="G47" s="67"/>
      <c r="H47" s="61"/>
      <c r="I47" s="61"/>
      <c r="J47" s="61"/>
      <c r="K47" s="61"/>
      <c r="L47" s="25"/>
      <c r="M47" s="25"/>
      <c r="N47" s="25"/>
      <c r="P47" s="124"/>
      <c r="Q47" s="124"/>
      <c r="R47" s="138" t="s">
        <v>92</v>
      </c>
      <c r="S47" s="139" t="str">
        <f>IF(R26="","",IF(AND(S36="",S37="",S38="",S39="",S40="",S41=""),"Falta Especificar Tmax",IF(R26="","",IF(R26-R31&gt;=S43,"Cumple",IF(R26-R31&gt;=S43,"Cumple","No cumple")))))</f>
        <v>Cumple</v>
      </c>
      <c r="T47" s="86"/>
      <c r="U47" s="106"/>
      <c r="V47" s="107"/>
    </row>
    <row r="48" spans="1:22" ht="12.75" customHeight="1">
      <c r="A48" s="154" t="s">
        <v>93</v>
      </c>
      <c r="B48" s="67"/>
      <c r="C48" s="67"/>
      <c r="D48" s="67"/>
      <c r="E48" s="67"/>
      <c r="F48" s="67"/>
      <c r="G48" s="67"/>
      <c r="H48" s="61"/>
      <c r="I48" s="61"/>
      <c r="J48" s="61"/>
      <c r="K48" s="61"/>
      <c r="L48" s="25"/>
      <c r="M48" s="25"/>
      <c r="N48" s="25"/>
      <c r="T48" s="86"/>
      <c r="U48" s="109"/>
      <c r="V48" s="107"/>
    </row>
    <row r="49" spans="1:22" ht="10.5" customHeight="1">
      <c r="A49" s="77" t="s">
        <v>94</v>
      </c>
      <c r="B49" s="76"/>
      <c r="C49" s="76"/>
      <c r="D49" s="76"/>
      <c r="E49" s="76"/>
      <c r="F49" s="76"/>
      <c r="G49" s="76"/>
      <c r="L49" s="25"/>
      <c r="M49" s="25"/>
      <c r="N49" s="25"/>
      <c r="T49" s="86"/>
      <c r="U49" s="109"/>
      <c r="V49" s="107"/>
    </row>
    <row r="50" spans="1:22" ht="10.5" customHeight="1">
      <c r="A50" s="77" t="s">
        <v>95</v>
      </c>
      <c r="B50" s="77"/>
      <c r="C50" s="77"/>
      <c r="D50" s="77"/>
      <c r="E50" s="77"/>
      <c r="F50" s="77"/>
      <c r="G50" s="77"/>
      <c r="H50" s="77"/>
      <c r="I50" s="77"/>
      <c r="J50" s="76"/>
      <c r="K50" s="76"/>
      <c r="T50" s="86"/>
      <c r="U50" s="110"/>
      <c r="V50" s="107"/>
    </row>
    <row r="51" spans="1:22" ht="33" customHeight="1">
      <c r="A51" s="610" t="s">
        <v>96</v>
      </c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T51" s="86"/>
      <c r="U51" s="109"/>
      <c r="V51" s="107"/>
    </row>
    <row r="52" spans="1:22" ht="11.25" customHeight="1">
      <c r="H52" s="609" t="s">
        <v>97</v>
      </c>
      <c r="I52" s="609"/>
      <c r="J52" s="609"/>
      <c r="K52" s="609"/>
      <c r="T52" s="86"/>
      <c r="U52" s="109"/>
      <c r="V52" s="107"/>
    </row>
    <row r="53" spans="1:22" ht="15.9" customHeight="1">
      <c r="J53" s="70"/>
      <c r="K53" s="71"/>
      <c r="T53" s="117"/>
      <c r="U53" s="109"/>
      <c r="V53" s="107"/>
    </row>
    <row r="54" spans="1:22">
      <c r="J54" s="72"/>
      <c r="K54" s="71"/>
      <c r="T54" s="611"/>
      <c r="U54" s="109"/>
      <c r="V54" s="107"/>
    </row>
    <row r="55" spans="1:22">
      <c r="J55"/>
      <c r="K55" s="71"/>
      <c r="T55" s="611"/>
      <c r="U55" s="109"/>
      <c r="V55" s="107"/>
    </row>
    <row r="56" spans="1:22">
      <c r="J56"/>
      <c r="K56" s="71"/>
      <c r="T56" s="122"/>
      <c r="U56" s="109"/>
      <c r="V56" s="107"/>
    </row>
    <row r="57" spans="1:22">
      <c r="A57"/>
      <c r="B57"/>
      <c r="C57"/>
      <c r="D57"/>
      <c r="E57"/>
      <c r="F57"/>
      <c r="G57"/>
      <c r="H57"/>
      <c r="I57"/>
      <c r="J57"/>
      <c r="T57" s="124"/>
      <c r="U57" s="109"/>
      <c r="V57" s="107"/>
    </row>
    <row r="58" spans="1:2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22">
      <c r="A59" s="601" t="s">
        <v>98</v>
      </c>
      <c r="B59" s="603"/>
      <c r="C59" s="603"/>
      <c r="D59" s="603"/>
      <c r="E59" s="603"/>
      <c r="F59" s="603"/>
      <c r="G59" s="603"/>
      <c r="H59" s="603"/>
      <c r="I59" s="603"/>
      <c r="J59" s="603"/>
      <c r="K59" s="604"/>
    </row>
    <row r="60" spans="1:22">
      <c r="A60" s="602"/>
      <c r="B60" s="605"/>
      <c r="C60" s="605"/>
      <c r="D60" s="605"/>
      <c r="E60" s="605"/>
      <c r="F60" s="605"/>
      <c r="G60" s="605"/>
      <c r="H60" s="605"/>
      <c r="I60" s="605"/>
      <c r="J60" s="605"/>
      <c r="K60" s="606"/>
    </row>
    <row r="61" spans="1:22">
      <c r="A61" s="74"/>
      <c r="B61" s="605"/>
      <c r="C61" s="605"/>
      <c r="D61" s="605"/>
      <c r="E61" s="605"/>
      <c r="F61" s="605"/>
      <c r="G61" s="605"/>
      <c r="H61" s="605"/>
      <c r="I61" s="605"/>
      <c r="J61" s="605"/>
      <c r="K61" s="606"/>
    </row>
    <row r="62" spans="1:22">
      <c r="A62" s="75"/>
      <c r="B62" s="607"/>
      <c r="C62" s="607"/>
      <c r="D62" s="607"/>
      <c r="E62" s="607"/>
      <c r="F62" s="607"/>
      <c r="G62" s="607"/>
      <c r="H62" s="607"/>
      <c r="I62" s="607"/>
      <c r="J62" s="607"/>
      <c r="K62" s="608"/>
    </row>
    <row r="63" spans="1:2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7" spans="1:11">
      <c r="H77" s="98"/>
      <c r="I77" s="98"/>
      <c r="J77" s="98"/>
      <c r="K77"/>
    </row>
    <row r="78" spans="1:11">
      <c r="H78"/>
      <c r="I78"/>
      <c r="J78"/>
      <c r="K78"/>
    </row>
    <row r="79" spans="1:11">
      <c r="H79"/>
      <c r="I79"/>
      <c r="J79"/>
      <c r="K79"/>
    </row>
    <row r="80" spans="1:11">
      <c r="H80"/>
      <c r="I80"/>
      <c r="J80"/>
      <c r="K80"/>
    </row>
    <row r="81" spans="8:11">
      <c r="H81"/>
      <c r="I81"/>
      <c r="J81"/>
      <c r="K81"/>
    </row>
    <row r="82" spans="8:11">
      <c r="H82" s="98"/>
      <c r="I82" s="98"/>
      <c r="J82" s="98"/>
      <c r="K82"/>
    </row>
    <row r="83" spans="8:11">
      <c r="H83" s="98"/>
      <c r="I83" s="98"/>
      <c r="J83" s="98"/>
      <c r="K83"/>
    </row>
    <row r="84" spans="8:11">
      <c r="H84" s="98"/>
      <c r="I84" s="98"/>
      <c r="J84" s="98"/>
      <c r="K84"/>
    </row>
    <row r="85" spans="8:11">
      <c r="H85" s="101"/>
      <c r="I85" s="101"/>
      <c r="J85" s="101"/>
      <c r="K85"/>
    </row>
    <row r="86" spans="8:11">
      <c r="H86" s="597"/>
      <c r="I86" s="597"/>
      <c r="J86" s="597"/>
      <c r="K86"/>
    </row>
    <row r="87" spans="8:11">
      <c r="H87" s="597"/>
      <c r="I87" s="597"/>
      <c r="J87" s="597"/>
      <c r="K87"/>
    </row>
    <row r="88" spans="8:11">
      <c r="H88" s="107"/>
      <c r="I88" s="107"/>
      <c r="J88" s="107"/>
      <c r="K88"/>
    </row>
    <row r="89" spans="8:11">
      <c r="H89" s="107"/>
      <c r="I89" s="107"/>
      <c r="J89" s="107"/>
      <c r="K89"/>
    </row>
    <row r="90" spans="8:11">
      <c r="H90" s="107"/>
      <c r="I90" s="107"/>
      <c r="J90" s="107"/>
      <c r="K90"/>
    </row>
    <row r="91" spans="8:11">
      <c r="H91" s="107"/>
      <c r="I91" s="107"/>
      <c r="J91" s="107"/>
      <c r="K91"/>
    </row>
    <row r="92" spans="8:11">
      <c r="H92" s="107"/>
      <c r="I92" s="107"/>
      <c r="J92" s="107"/>
      <c r="K92"/>
    </row>
    <row r="93" spans="8:11">
      <c r="H93" s="107"/>
      <c r="I93" s="107"/>
      <c r="J93" s="107"/>
      <c r="K93"/>
    </row>
    <row r="94" spans="8:11">
      <c r="H94" s="107"/>
      <c r="I94" s="107"/>
      <c r="J94" s="107"/>
      <c r="K94"/>
    </row>
    <row r="95" spans="8:11">
      <c r="H95" s="107"/>
      <c r="I95" s="107"/>
      <c r="J95" s="107"/>
      <c r="K95"/>
    </row>
    <row r="96" spans="8:11">
      <c r="H96" s="107"/>
      <c r="I96" s="107"/>
      <c r="J96" s="107"/>
      <c r="K96"/>
    </row>
    <row r="97" spans="1:11">
      <c r="H97" s="107"/>
      <c r="I97" s="107"/>
      <c r="J97" s="107"/>
      <c r="K97"/>
    </row>
    <row r="98" spans="1:11">
      <c r="H98" s="107"/>
      <c r="I98" s="107"/>
      <c r="J98" s="107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</sheetData>
  <protectedRanges>
    <protectedRange sqref="C12:C14 C17" name="Rango3_3_1_1_1_1_1_1_1_1"/>
    <protectedRange sqref="C10:C11" name="Rango3_3_1_1_1_1_1_2_1"/>
  </protectedRanges>
  <mergeCells count="29">
    <mergeCell ref="T54:T55"/>
    <mergeCell ref="V45:V46"/>
    <mergeCell ref="W24:Z25"/>
    <mergeCell ref="Q21:R21"/>
    <mergeCell ref="S24:S25"/>
    <mergeCell ref="A39:H39"/>
    <mergeCell ref="H86:H87"/>
    <mergeCell ref="I86:I87"/>
    <mergeCell ref="J86:J87"/>
    <mergeCell ref="P38:P41"/>
    <mergeCell ref="A59:A60"/>
    <mergeCell ref="B59:K62"/>
    <mergeCell ref="H52:K52"/>
    <mergeCell ref="A51:K51"/>
    <mergeCell ref="A7:K7"/>
    <mergeCell ref="A17:B18"/>
    <mergeCell ref="V24:V25"/>
    <mergeCell ref="P34:Q35"/>
    <mergeCell ref="R34:R35"/>
    <mergeCell ref="S34:S35"/>
    <mergeCell ref="Q13:R13"/>
    <mergeCell ref="A15:K15"/>
    <mergeCell ref="I25:J25"/>
    <mergeCell ref="I26:J26"/>
    <mergeCell ref="A16:K16"/>
    <mergeCell ref="A8:K8"/>
    <mergeCell ref="B23:C23"/>
    <mergeCell ref="I23:J23"/>
    <mergeCell ref="I24:J24"/>
  </mergeCells>
  <conditionalFormatting sqref="A39">
    <cfRule type="cellIs" priority="1" stopIfTrue="1" operator="between">
      <formula>5</formula>
      <formula>10</formula>
    </cfRule>
  </conditionalFormatting>
  <printOptions horizontalCentered="1" verticalCentered="1"/>
  <pageMargins left="0" right="0" top="0.39370078740157483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F6C-5F27-49B6-872C-8C68C4082771}">
  <dimension ref="A1:W63"/>
  <sheetViews>
    <sheetView tabSelected="1" topLeftCell="A39" workbookViewId="0">
      <selection activeCell="C55" sqref="C55:E57"/>
    </sheetView>
  </sheetViews>
  <sheetFormatPr baseColWidth="10" defaultColWidth="10.33203125" defaultRowHeight="13.8"/>
  <cols>
    <col min="1" max="1" width="8.6640625" style="455" customWidth="1"/>
    <col min="2" max="2" width="3.109375" style="455" customWidth="1"/>
    <col min="3" max="3" width="10.88671875" style="455" customWidth="1"/>
    <col min="4" max="4" width="14.44140625" style="455" customWidth="1"/>
    <col min="5" max="5" width="10.88671875" style="455" customWidth="1"/>
    <col min="6" max="6" width="11.33203125" style="455" customWidth="1"/>
    <col min="7" max="7" width="3" style="455" customWidth="1"/>
    <col min="8" max="8" width="9.33203125" style="455" customWidth="1"/>
    <col min="9" max="9" width="16.88671875" style="455" customWidth="1"/>
    <col min="10" max="10" width="6.6640625" style="455" customWidth="1"/>
    <col min="11" max="11" width="8.44140625" style="455" customWidth="1"/>
    <col min="12" max="12" width="2.109375" style="455" customWidth="1"/>
    <col min="13" max="13" width="6.44140625" style="455" customWidth="1"/>
    <col min="14" max="14" width="9.33203125" style="455" customWidth="1"/>
    <col min="15" max="15" width="12.44140625" style="455" customWidth="1"/>
    <col min="16" max="16384" width="10.33203125" style="455"/>
  </cols>
  <sheetData>
    <row r="1" spans="1:16" ht="12.75" customHeight="1" thickTop="1">
      <c r="A1" s="491"/>
      <c r="B1" s="492"/>
      <c r="C1" s="492"/>
      <c r="D1" s="493"/>
      <c r="E1" s="493"/>
      <c r="F1" s="493"/>
      <c r="G1" s="493"/>
      <c r="H1" s="493"/>
      <c r="I1" s="493"/>
      <c r="J1" s="494"/>
      <c r="K1" s="494"/>
      <c r="L1" s="495"/>
    </row>
    <row r="2" spans="1:16" ht="12.75" customHeight="1">
      <c r="A2" s="496"/>
      <c r="B2" s="497"/>
      <c r="C2" s="497"/>
      <c r="D2" s="498"/>
      <c r="E2" s="498"/>
      <c r="F2" s="498"/>
      <c r="G2" s="498"/>
      <c r="H2" s="498"/>
      <c r="I2" s="498"/>
      <c r="L2" s="499"/>
      <c r="O2" s="475" t="s">
        <v>1</v>
      </c>
      <c r="P2" s="476"/>
    </row>
    <row r="3" spans="1:16" ht="12.75" customHeight="1">
      <c r="A3" s="496"/>
      <c r="B3" s="497"/>
      <c r="C3" s="497"/>
      <c r="D3" s="498"/>
      <c r="E3" s="498"/>
      <c r="F3" s="498"/>
      <c r="G3" s="498"/>
      <c r="H3" s="498"/>
      <c r="I3" s="498"/>
      <c r="L3" s="499"/>
      <c r="O3" s="475" t="s">
        <v>100</v>
      </c>
      <c r="P3" s="477"/>
    </row>
    <row r="4" spans="1:16" ht="12.75" customHeight="1">
      <c r="A4" s="496"/>
      <c r="B4" s="497"/>
      <c r="C4" s="497"/>
      <c r="D4" s="498"/>
      <c r="E4" s="498"/>
      <c r="F4" s="498"/>
      <c r="G4" s="498"/>
      <c r="H4" s="498"/>
      <c r="I4" s="498"/>
      <c r="L4" s="499"/>
      <c r="O4" s="475" t="s">
        <v>8</v>
      </c>
      <c r="P4" s="477"/>
    </row>
    <row r="5" spans="1:16" ht="12.75" customHeight="1" thickBot="1">
      <c r="A5" s="500"/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2"/>
      <c r="O5" s="475" t="s">
        <v>11</v>
      </c>
      <c r="P5" s="477"/>
    </row>
    <row r="6" spans="1:16" ht="6.75" customHeight="1" thickTop="1">
      <c r="A6" s="503"/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  <c r="O6" s="478"/>
      <c r="P6" s="479"/>
    </row>
    <row r="7" spans="1:16" ht="15.9" customHeight="1">
      <c r="A7" s="619" t="s">
        <v>0</v>
      </c>
      <c r="B7" s="619"/>
      <c r="C7" s="619"/>
      <c r="D7" s="619"/>
      <c r="E7" s="619"/>
      <c r="F7" s="619"/>
      <c r="G7" s="619"/>
      <c r="H7" s="619"/>
      <c r="I7" s="619"/>
      <c r="J7" s="619"/>
      <c r="K7" s="619"/>
      <c r="L7" s="619"/>
      <c r="O7" s="475" t="s">
        <v>267</v>
      </c>
      <c r="P7" s="479"/>
    </row>
    <row r="8" spans="1:16" ht="15.9" customHeight="1">
      <c r="A8" s="620" t="s">
        <v>289</v>
      </c>
      <c r="B8" s="620"/>
      <c r="C8" s="620"/>
      <c r="D8" s="620"/>
      <c r="E8" s="620"/>
      <c r="F8" s="620"/>
      <c r="G8" s="620"/>
      <c r="H8" s="620"/>
      <c r="I8" s="620"/>
      <c r="J8" s="620"/>
      <c r="K8" s="620"/>
      <c r="L8" s="620"/>
      <c r="O8" s="475" t="s">
        <v>335</v>
      </c>
      <c r="P8" s="480"/>
    </row>
    <row r="9" spans="1:16" ht="8.25" customHeight="1">
      <c r="A9" s="490"/>
      <c r="B9" s="490"/>
      <c r="C9" s="490"/>
      <c r="D9" s="490"/>
      <c r="E9" s="490"/>
      <c r="F9" s="490"/>
      <c r="G9" s="490"/>
      <c r="H9" s="490"/>
      <c r="I9" s="490"/>
      <c r="J9" s="490"/>
      <c r="K9" s="490"/>
      <c r="L9" s="490"/>
      <c r="O9" s="475" t="s">
        <v>336</v>
      </c>
      <c r="P9" s="479"/>
    </row>
    <row r="10" spans="1:16" ht="15.9" customHeight="1">
      <c r="A10" s="490"/>
      <c r="B10" s="490"/>
      <c r="D10" s="504" t="s">
        <v>290</v>
      </c>
      <c r="E10" s="504" t="s">
        <v>10</v>
      </c>
      <c r="F10" s="505"/>
      <c r="G10" s="506" t="s">
        <v>291</v>
      </c>
      <c r="H10" s="507"/>
      <c r="I10" s="504" t="s">
        <v>292</v>
      </c>
      <c r="J10" s="490"/>
      <c r="K10" s="490"/>
      <c r="L10" s="490"/>
      <c r="O10" s="478"/>
      <c r="P10" s="479"/>
    </row>
    <row r="11" spans="1:16" ht="15.9" customHeight="1">
      <c r="A11" s="490"/>
      <c r="B11" s="490"/>
      <c r="C11" s="490"/>
      <c r="D11" s="504"/>
      <c r="E11" s="504"/>
      <c r="F11" s="505"/>
      <c r="G11" s="506"/>
      <c r="H11" s="507"/>
      <c r="I11" s="504"/>
      <c r="J11" s="490"/>
      <c r="K11" s="490"/>
      <c r="L11" s="490"/>
      <c r="O11" s="475" t="s">
        <v>105</v>
      </c>
      <c r="P11" s="479"/>
    </row>
    <row r="12" spans="1:16" ht="15.9" customHeight="1">
      <c r="A12" s="490"/>
      <c r="B12" s="490"/>
      <c r="C12" s="490"/>
      <c r="F12" s="89"/>
      <c r="H12" s="89"/>
      <c r="J12" s="490"/>
      <c r="K12" s="490"/>
      <c r="L12" s="490"/>
      <c r="O12" s="475" t="s">
        <v>22</v>
      </c>
      <c r="P12" s="480"/>
    </row>
    <row r="13" spans="1:16" ht="7.5" customHeight="1">
      <c r="A13" s="508"/>
      <c r="B13" s="509"/>
      <c r="C13" s="510"/>
      <c r="D13" s="510"/>
      <c r="E13" s="510"/>
      <c r="F13" s="510"/>
      <c r="G13" s="510"/>
      <c r="H13" s="510"/>
      <c r="I13" s="510"/>
      <c r="J13" s="509"/>
      <c r="K13" s="509"/>
      <c r="L13" s="511"/>
      <c r="M13" s="87"/>
      <c r="O13" s="475" t="s">
        <v>27</v>
      </c>
      <c r="P13" s="480"/>
    </row>
    <row r="14" spans="1:16" ht="17.25" customHeight="1">
      <c r="A14" s="621" t="s">
        <v>102</v>
      </c>
      <c r="B14" s="622"/>
      <c r="C14" s="622"/>
      <c r="D14" s="622"/>
      <c r="E14" s="622"/>
      <c r="F14" s="622"/>
      <c r="G14" s="622"/>
      <c r="H14" s="622"/>
      <c r="I14" s="622"/>
      <c r="J14" s="622"/>
      <c r="K14" s="622"/>
      <c r="L14" s="623"/>
      <c r="M14" s="87"/>
      <c r="O14" s="478"/>
      <c r="P14" s="479"/>
    </row>
    <row r="15" spans="1:16" ht="15" customHeight="1">
      <c r="A15" s="624" t="s">
        <v>103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6"/>
      <c r="M15" s="87"/>
      <c r="O15" s="475" t="s">
        <v>104</v>
      </c>
      <c r="P15" s="481"/>
    </row>
    <row r="16" spans="1:16" ht="18" customHeight="1">
      <c r="A16" s="512"/>
      <c r="B16" s="513"/>
      <c r="C16" s="514"/>
      <c r="D16" s="514"/>
      <c r="E16" s="514"/>
      <c r="F16" s="514"/>
      <c r="G16" s="514"/>
      <c r="H16" s="514"/>
      <c r="I16" s="514"/>
      <c r="J16" s="513"/>
      <c r="K16" s="513"/>
      <c r="L16" s="515"/>
      <c r="M16" s="87"/>
      <c r="O16" s="475" t="s">
        <v>25</v>
      </c>
      <c r="P16" s="481"/>
    </row>
    <row r="17" spans="1:19" ht="15.9" customHeight="1">
      <c r="A17" s="617" t="s">
        <v>293</v>
      </c>
      <c r="B17" s="618"/>
      <c r="C17" s="618"/>
      <c r="D17" s="618"/>
      <c r="E17" s="618"/>
      <c r="F17" s="618"/>
      <c r="G17" s="618"/>
      <c r="H17" s="618"/>
      <c r="I17" s="618"/>
      <c r="J17" s="456"/>
      <c r="K17" s="456"/>
      <c r="L17" s="516"/>
      <c r="O17" s="475" t="s">
        <v>29</v>
      </c>
      <c r="P17" s="482"/>
    </row>
    <row r="18" spans="1:19" ht="18" customHeight="1">
      <c r="A18" s="517" t="s">
        <v>120</v>
      </c>
      <c r="B18" s="518"/>
      <c r="C18" s="518"/>
      <c r="D18" s="518"/>
      <c r="E18" s="518"/>
      <c r="F18" s="518"/>
      <c r="G18" s="518"/>
      <c r="H18" s="518"/>
      <c r="I18" s="518"/>
      <c r="J18" s="519"/>
      <c r="K18" s="456"/>
      <c r="L18" s="516"/>
    </row>
    <row r="19" spans="1:19" ht="18" customHeight="1">
      <c r="A19" s="517" t="s">
        <v>294</v>
      </c>
      <c r="B19" s="518"/>
      <c r="C19" s="518"/>
      <c r="D19" s="518"/>
      <c r="E19" s="518"/>
      <c r="F19" s="518"/>
      <c r="G19" s="518"/>
      <c r="H19" s="518"/>
      <c r="I19" s="518"/>
      <c r="J19" s="519"/>
      <c r="K19" s="456"/>
      <c r="L19" s="516"/>
    </row>
    <row r="20" spans="1:19" ht="18" customHeight="1">
      <c r="A20" s="517" t="s">
        <v>122</v>
      </c>
      <c r="B20" s="518"/>
      <c r="C20" s="518"/>
      <c r="D20" s="518"/>
      <c r="E20" s="518"/>
      <c r="F20" s="518"/>
      <c r="G20" s="518"/>
      <c r="H20" s="518"/>
      <c r="I20" s="518"/>
      <c r="J20" s="519"/>
      <c r="K20" s="456"/>
      <c r="L20" s="516"/>
    </row>
    <row r="21" spans="1:19" ht="18" customHeight="1">
      <c r="A21" s="517" t="s">
        <v>123</v>
      </c>
      <c r="B21" s="518"/>
      <c r="C21" s="518"/>
      <c r="D21" s="518"/>
      <c r="E21" s="518"/>
      <c r="F21" s="518"/>
      <c r="G21" s="518"/>
      <c r="H21" s="518"/>
      <c r="I21" s="518"/>
      <c r="J21" s="519"/>
      <c r="K21" s="456"/>
      <c r="L21" s="516"/>
    </row>
    <row r="22" spans="1:19" ht="18" customHeight="1">
      <c r="A22" s="520" t="s">
        <v>332</v>
      </c>
      <c r="B22" s="518"/>
      <c r="C22" s="518"/>
      <c r="D22" s="518"/>
      <c r="E22" s="518"/>
      <c r="F22" s="518"/>
      <c r="G22" s="518"/>
      <c r="H22" s="518"/>
      <c r="I22" s="518"/>
      <c r="J22" s="456"/>
      <c r="K22" s="456"/>
      <c r="L22" s="516"/>
    </row>
    <row r="23" spans="1:19" ht="14.4" customHeight="1">
      <c r="A23" s="521"/>
      <c r="B23" s="457"/>
      <c r="C23" s="457"/>
      <c r="D23" s="457"/>
      <c r="E23" s="457"/>
      <c r="F23" s="457"/>
      <c r="G23" s="457"/>
      <c r="H23" s="457"/>
      <c r="I23" s="457"/>
      <c r="J23" s="456"/>
      <c r="K23" s="456"/>
      <c r="L23" s="516"/>
    </row>
    <row r="24" spans="1:19" ht="15.9" customHeight="1">
      <c r="A24" s="617" t="s">
        <v>295</v>
      </c>
      <c r="B24" s="618"/>
      <c r="C24" s="618"/>
      <c r="D24" s="618"/>
      <c r="E24" s="457"/>
      <c r="F24" s="457"/>
      <c r="G24" s="457"/>
      <c r="H24" s="457"/>
      <c r="I24" s="457"/>
      <c r="J24" s="456"/>
      <c r="K24" s="456"/>
      <c r="L24" s="516"/>
    </row>
    <row r="25" spans="1:19" ht="18.75" customHeight="1">
      <c r="A25" s="627" t="s">
        <v>296</v>
      </c>
      <c r="B25" s="627"/>
      <c r="C25" s="627"/>
      <c r="D25" s="627"/>
      <c r="E25" s="628"/>
      <c r="F25" s="628"/>
      <c r="G25" s="458"/>
      <c r="H25" s="629" t="s">
        <v>325</v>
      </c>
      <c r="I25" s="630"/>
      <c r="J25" s="631"/>
      <c r="K25" s="522"/>
      <c r="L25" s="516"/>
    </row>
    <row r="26" spans="1:19" ht="18.75" customHeight="1">
      <c r="A26" s="627" t="s">
        <v>297</v>
      </c>
      <c r="B26" s="627"/>
      <c r="C26" s="627"/>
      <c r="D26" s="627"/>
      <c r="E26" s="628"/>
      <c r="F26" s="628"/>
      <c r="G26" s="458"/>
      <c r="H26" s="632" t="s">
        <v>326</v>
      </c>
      <c r="I26" s="632"/>
      <c r="J26" s="459"/>
      <c r="K26" s="523"/>
      <c r="L26" s="516"/>
    </row>
    <row r="27" spans="1:19" ht="22.2" customHeight="1">
      <c r="A27" s="627" t="s">
        <v>298</v>
      </c>
      <c r="B27" s="627"/>
      <c r="C27" s="627"/>
      <c r="D27" s="627"/>
      <c r="E27" s="628"/>
      <c r="F27" s="628"/>
      <c r="G27" s="458"/>
      <c r="H27" s="471"/>
      <c r="I27" s="472"/>
      <c r="J27" s="473"/>
      <c r="K27" s="473"/>
      <c r="L27" s="516"/>
      <c r="M27" s="87"/>
    </row>
    <row r="28" spans="1:19" ht="22.2" customHeight="1">
      <c r="A28" s="627" t="s">
        <v>327</v>
      </c>
      <c r="B28" s="627"/>
      <c r="C28" s="627"/>
      <c r="D28" s="627"/>
      <c r="E28" s="628"/>
      <c r="F28" s="628"/>
      <c r="L28" s="524"/>
      <c r="M28" s="87"/>
    </row>
    <row r="29" spans="1:19" ht="22.2" customHeight="1">
      <c r="A29" s="525"/>
      <c r="B29" s="526"/>
      <c r="C29" s="526"/>
      <c r="D29" s="526"/>
      <c r="E29" s="526"/>
      <c r="F29" s="526"/>
      <c r="G29" s="527"/>
      <c r="H29" s="527"/>
      <c r="I29" s="527"/>
      <c r="J29" s="528"/>
      <c r="K29" s="528"/>
      <c r="L29" s="529"/>
      <c r="M29" s="87"/>
    </row>
    <row r="30" spans="1:19" ht="15.75" customHeight="1">
      <c r="A30" s="530"/>
      <c r="B30" s="636" t="s">
        <v>300</v>
      </c>
      <c r="C30" s="636"/>
      <c r="D30" s="636"/>
      <c r="E30" s="636"/>
      <c r="F30" s="636"/>
      <c r="G30" s="636"/>
      <c r="H30" s="531" t="s">
        <v>301</v>
      </c>
      <c r="I30" s="531" t="s">
        <v>302</v>
      </c>
      <c r="J30" s="637"/>
      <c r="K30" s="637"/>
      <c r="L30" s="532"/>
      <c r="M30" s="87"/>
    </row>
    <row r="31" spans="1:19" ht="21.75" customHeight="1">
      <c r="A31" s="533"/>
      <c r="B31" s="534">
        <v>1</v>
      </c>
      <c r="C31" s="633" t="s">
        <v>35</v>
      </c>
      <c r="D31" s="634"/>
      <c r="E31" s="634"/>
      <c r="F31" s="634"/>
      <c r="G31" s="635"/>
      <c r="H31" s="535" t="s">
        <v>36</v>
      </c>
      <c r="I31" s="536"/>
      <c r="J31" s="537"/>
      <c r="K31" s="537"/>
      <c r="L31" s="538"/>
      <c r="M31" s="87"/>
    </row>
    <row r="32" spans="1:19" ht="21.75" customHeight="1">
      <c r="A32" s="533"/>
      <c r="B32" s="539">
        <v>2</v>
      </c>
      <c r="C32" s="633" t="s">
        <v>111</v>
      </c>
      <c r="D32" s="634"/>
      <c r="E32" s="634"/>
      <c r="F32" s="634"/>
      <c r="G32" s="635"/>
      <c r="H32" s="535" t="s">
        <v>36</v>
      </c>
      <c r="I32" s="536"/>
      <c r="J32" s="537"/>
      <c r="K32" s="537"/>
      <c r="L32" s="538"/>
      <c r="M32" s="87"/>
      <c r="S32" s="460"/>
    </row>
    <row r="33" spans="1:23" ht="21.75" customHeight="1">
      <c r="A33" s="533"/>
      <c r="B33" s="539">
        <v>3</v>
      </c>
      <c r="C33" s="633" t="s">
        <v>112</v>
      </c>
      <c r="D33" s="634"/>
      <c r="E33" s="634"/>
      <c r="F33" s="634"/>
      <c r="G33" s="635"/>
      <c r="H33" s="535" t="s">
        <v>193</v>
      </c>
      <c r="I33" s="536"/>
      <c r="J33" s="537"/>
      <c r="K33" s="537"/>
      <c r="L33" s="540"/>
      <c r="M33" s="461"/>
      <c r="W33" s="460"/>
    </row>
    <row r="34" spans="1:23" ht="21.75" customHeight="1">
      <c r="A34" s="533"/>
      <c r="B34" s="534">
        <v>4</v>
      </c>
      <c r="C34" s="633" t="s">
        <v>113</v>
      </c>
      <c r="D34" s="634"/>
      <c r="E34" s="634"/>
      <c r="F34" s="634"/>
      <c r="G34" s="635"/>
      <c r="H34" s="535" t="s">
        <v>193</v>
      </c>
      <c r="I34" s="536"/>
      <c r="J34" s="537"/>
      <c r="K34" s="537"/>
      <c r="L34" s="540"/>
      <c r="M34" s="461"/>
      <c r="O34" s="462"/>
      <c r="P34" s="462"/>
      <c r="W34" s="460"/>
    </row>
    <row r="35" spans="1:23" ht="21.75" customHeight="1">
      <c r="A35" s="533"/>
      <c r="B35" s="539">
        <v>5</v>
      </c>
      <c r="C35" s="633" t="s">
        <v>304</v>
      </c>
      <c r="D35" s="634"/>
      <c r="E35" s="634"/>
      <c r="F35" s="634"/>
      <c r="G35" s="635"/>
      <c r="H35" s="535" t="s">
        <v>193</v>
      </c>
      <c r="I35" s="536"/>
      <c r="J35" s="537"/>
      <c r="K35" s="537"/>
      <c r="L35" s="541"/>
      <c r="M35" s="461"/>
      <c r="O35" s="462"/>
      <c r="P35" s="462"/>
      <c r="W35" s="460"/>
    </row>
    <row r="36" spans="1:23" ht="21.75" customHeight="1">
      <c r="A36" s="533"/>
      <c r="B36" s="534">
        <v>6</v>
      </c>
      <c r="C36" s="633" t="s">
        <v>114</v>
      </c>
      <c r="D36" s="634"/>
      <c r="E36" s="634"/>
      <c r="F36" s="634"/>
      <c r="G36" s="635"/>
      <c r="H36" s="535" t="s">
        <v>193</v>
      </c>
      <c r="I36" s="536"/>
      <c r="J36" s="537"/>
      <c r="K36" s="537"/>
      <c r="L36" s="541"/>
      <c r="M36" s="461"/>
      <c r="O36" s="462"/>
      <c r="P36" s="462"/>
      <c r="W36" s="460"/>
    </row>
    <row r="37" spans="1:23" ht="21.75" customHeight="1">
      <c r="A37" s="533"/>
      <c r="B37" s="539">
        <v>7</v>
      </c>
      <c r="C37" s="633" t="s">
        <v>333</v>
      </c>
      <c r="D37" s="634"/>
      <c r="E37" s="634"/>
      <c r="F37" s="634"/>
      <c r="G37" s="635"/>
      <c r="H37" s="535" t="s">
        <v>193</v>
      </c>
      <c r="I37" s="536"/>
      <c r="J37" s="537"/>
      <c r="K37" s="537"/>
      <c r="L37" s="541"/>
      <c r="M37" s="461"/>
      <c r="N37" s="463"/>
      <c r="O37" s="462"/>
      <c r="P37" s="462"/>
    </row>
    <row r="38" spans="1:23" ht="21.75" customHeight="1">
      <c r="A38" s="533"/>
      <c r="B38" s="539">
        <v>8</v>
      </c>
      <c r="C38" s="633" t="s">
        <v>305</v>
      </c>
      <c r="D38" s="634"/>
      <c r="E38" s="634"/>
      <c r="F38" s="634"/>
      <c r="G38" s="635"/>
      <c r="H38" s="535" t="s">
        <v>193</v>
      </c>
      <c r="I38" s="536"/>
      <c r="J38" s="537"/>
      <c r="K38" s="537"/>
      <c r="L38" s="541"/>
      <c r="M38" s="461"/>
      <c r="N38" s="464"/>
      <c r="O38" s="465"/>
      <c r="P38" s="465"/>
    </row>
    <row r="39" spans="1:23" ht="21.75" customHeight="1">
      <c r="A39" s="533"/>
      <c r="B39" s="534">
        <v>9</v>
      </c>
      <c r="C39" s="633" t="s">
        <v>306</v>
      </c>
      <c r="D39" s="634"/>
      <c r="E39" s="634"/>
      <c r="F39" s="634"/>
      <c r="G39" s="635"/>
      <c r="H39" s="535" t="s">
        <v>56</v>
      </c>
      <c r="I39" s="536"/>
      <c r="J39" s="537"/>
      <c r="K39" s="537"/>
      <c r="L39" s="541"/>
      <c r="M39" s="461"/>
      <c r="N39" s="466"/>
      <c r="O39" s="204"/>
    </row>
    <row r="40" spans="1:23" ht="6.75" customHeight="1">
      <c r="A40" s="533"/>
      <c r="B40" s="527"/>
      <c r="C40" s="527"/>
      <c r="D40" s="527"/>
      <c r="E40" s="527"/>
      <c r="F40" s="527"/>
      <c r="I40" s="542"/>
      <c r="J40" s="543"/>
      <c r="K40" s="543"/>
      <c r="L40" s="541"/>
      <c r="M40" s="87"/>
      <c r="N40" s="466"/>
      <c r="O40" s="204"/>
      <c r="W40" s="460"/>
    </row>
    <row r="41" spans="1:23" ht="17.25" customHeight="1">
      <c r="A41" s="533"/>
      <c r="B41" s="642" t="s">
        <v>307</v>
      </c>
      <c r="C41" s="642"/>
      <c r="D41" s="642"/>
      <c r="E41" s="642"/>
      <c r="F41" s="642"/>
      <c r="G41" s="544"/>
      <c r="H41" s="643" t="s">
        <v>308</v>
      </c>
      <c r="I41" s="644"/>
      <c r="J41" s="645"/>
      <c r="K41" s="645"/>
      <c r="L41" s="644"/>
      <c r="M41" s="87"/>
      <c r="W41" s="460"/>
    </row>
    <row r="42" spans="1:23" ht="26.25" customHeight="1">
      <c r="A42" s="533"/>
      <c r="B42" s="646" t="s">
        <v>309</v>
      </c>
      <c r="C42" s="646"/>
      <c r="D42" s="646"/>
      <c r="E42" s="545" t="s">
        <v>310</v>
      </c>
      <c r="F42" s="545" t="s">
        <v>311</v>
      </c>
      <c r="G42" s="544"/>
      <c r="H42" s="647" t="s">
        <v>312</v>
      </c>
      <c r="I42" s="647"/>
      <c r="J42" s="648"/>
      <c r="K42" s="648"/>
      <c r="L42" s="648"/>
      <c r="M42" s="87"/>
      <c r="W42" s="460"/>
    </row>
    <row r="43" spans="1:23" ht="15" customHeight="1">
      <c r="A43" s="533"/>
      <c r="B43" s="663" t="s">
        <v>313</v>
      </c>
      <c r="C43" s="663"/>
      <c r="D43" s="663"/>
      <c r="E43" s="546" t="s">
        <v>146</v>
      </c>
      <c r="F43" s="546" t="s">
        <v>314</v>
      </c>
      <c r="G43" s="544"/>
      <c r="H43" s="647" t="s">
        <v>315</v>
      </c>
      <c r="I43" s="647"/>
      <c r="J43" s="638"/>
      <c r="K43" s="638"/>
      <c r="L43" s="639"/>
      <c r="M43" s="87"/>
      <c r="W43" s="460"/>
    </row>
    <row r="44" spans="1:23" ht="15" customHeight="1">
      <c r="A44" s="533"/>
      <c r="B44" s="663" t="s">
        <v>316</v>
      </c>
      <c r="C44" s="663"/>
      <c r="D44" s="663"/>
      <c r="E44" s="546" t="s">
        <v>148</v>
      </c>
      <c r="F44" s="546" t="s">
        <v>314</v>
      </c>
      <c r="G44" s="544"/>
      <c r="H44" s="647"/>
      <c r="I44" s="647"/>
      <c r="J44" s="640"/>
      <c r="K44" s="640"/>
      <c r="L44" s="641"/>
      <c r="M44" s="87"/>
    </row>
    <row r="45" spans="1:23" ht="15" customHeight="1">
      <c r="A45" s="533"/>
      <c r="B45" s="659" t="s">
        <v>317</v>
      </c>
      <c r="C45" s="659"/>
      <c r="D45" s="659"/>
      <c r="E45" s="546" t="s">
        <v>150</v>
      </c>
      <c r="F45" s="546" t="s">
        <v>314</v>
      </c>
      <c r="G45" s="544"/>
      <c r="H45" s="647" t="s">
        <v>318</v>
      </c>
      <c r="I45" s="647"/>
      <c r="J45" s="638"/>
      <c r="K45" s="638"/>
      <c r="L45" s="639"/>
      <c r="M45" s="87"/>
    </row>
    <row r="46" spans="1:23" ht="15" customHeight="1">
      <c r="A46" s="533"/>
      <c r="B46" s="642" t="s">
        <v>319</v>
      </c>
      <c r="C46" s="642"/>
      <c r="D46" s="642"/>
      <c r="E46" s="642"/>
      <c r="F46" s="642"/>
      <c r="G46" s="544"/>
      <c r="H46" s="647"/>
      <c r="I46" s="647"/>
      <c r="J46" s="640"/>
      <c r="K46" s="640"/>
      <c r="L46" s="641"/>
      <c r="M46" s="87"/>
    </row>
    <row r="47" spans="1:23" ht="15" customHeight="1">
      <c r="A47" s="533"/>
      <c r="B47" s="659" t="s">
        <v>320</v>
      </c>
      <c r="C47" s="659"/>
      <c r="D47" s="659"/>
      <c r="E47" s="546" t="s">
        <v>152</v>
      </c>
      <c r="F47" s="546" t="s">
        <v>321</v>
      </c>
      <c r="G47" s="544"/>
      <c r="H47" s="660"/>
      <c r="I47" s="660"/>
      <c r="J47" s="661"/>
      <c r="K47" s="661"/>
      <c r="L47" s="662"/>
      <c r="M47" s="87"/>
    </row>
    <row r="48" spans="1:23" ht="15" customHeight="1">
      <c r="A48" s="533"/>
      <c r="B48" s="663" t="s">
        <v>153</v>
      </c>
      <c r="C48" s="663"/>
      <c r="D48" s="663"/>
      <c r="E48" s="546" t="s">
        <v>150</v>
      </c>
      <c r="F48" s="546" t="s">
        <v>321</v>
      </c>
      <c r="G48" s="544"/>
      <c r="H48" s="660"/>
      <c r="I48" s="660"/>
      <c r="J48" s="661"/>
      <c r="K48" s="661"/>
      <c r="L48" s="662"/>
      <c r="M48" s="87"/>
    </row>
    <row r="49" spans="1:13" ht="15" customHeight="1">
      <c r="A49" s="533"/>
      <c r="B49" s="663" t="s">
        <v>155</v>
      </c>
      <c r="C49" s="663"/>
      <c r="D49" s="663"/>
      <c r="E49" s="546" t="s">
        <v>150</v>
      </c>
      <c r="F49" s="546" t="s">
        <v>321</v>
      </c>
      <c r="G49" s="544"/>
      <c r="H49" s="547"/>
      <c r="I49" s="547"/>
      <c r="J49" s="548"/>
      <c r="K49" s="548"/>
      <c r="L49" s="549"/>
      <c r="M49" s="87"/>
    </row>
    <row r="50" spans="1:13" ht="18.75" customHeight="1">
      <c r="A50" s="550"/>
      <c r="B50" s="551" t="s">
        <v>322</v>
      </c>
      <c r="C50" s="552"/>
      <c r="D50" s="552"/>
      <c r="E50" s="553"/>
      <c r="F50" s="553"/>
      <c r="G50" s="554"/>
      <c r="H50" s="555"/>
      <c r="I50" s="555"/>
      <c r="J50" s="556"/>
      <c r="K50" s="556"/>
      <c r="L50" s="557"/>
      <c r="M50" s="87"/>
    </row>
    <row r="51" spans="1:13" ht="7.5" customHeight="1">
      <c r="A51" s="558"/>
      <c r="B51" s="460"/>
      <c r="C51" s="460"/>
      <c r="D51" s="460"/>
      <c r="E51" s="460"/>
      <c r="F51" s="460"/>
      <c r="G51" s="460"/>
      <c r="H51" s="559"/>
      <c r="I51" s="560"/>
      <c r="J51" s="460"/>
      <c r="K51" s="460"/>
      <c r="L51" s="460"/>
      <c r="M51" s="87"/>
    </row>
    <row r="52" spans="1:13" ht="22.5" customHeight="1">
      <c r="A52" s="561" t="s">
        <v>98</v>
      </c>
      <c r="B52" s="556"/>
      <c r="C52" s="556"/>
      <c r="D52" s="556"/>
      <c r="E52" s="556"/>
      <c r="F52" s="556"/>
      <c r="G52" s="556"/>
      <c r="H52" s="555"/>
      <c r="I52" s="555"/>
      <c r="J52" s="555"/>
      <c r="K52" s="555"/>
      <c r="L52" s="555"/>
      <c r="M52" s="87"/>
    </row>
    <row r="53" spans="1:13" ht="25.5" customHeight="1">
      <c r="A53" s="562"/>
      <c r="B53" s="556"/>
      <c r="C53" s="556"/>
      <c r="D53" s="556"/>
      <c r="E53" s="556"/>
      <c r="F53" s="556"/>
      <c r="G53" s="556"/>
      <c r="H53" s="555"/>
      <c r="I53" s="555"/>
      <c r="J53" s="555"/>
      <c r="K53" s="555"/>
      <c r="L53" s="555"/>
      <c r="M53" s="87"/>
    </row>
    <row r="54" spans="1:13" ht="6.75" customHeight="1">
      <c r="A54" s="563"/>
      <c r="B54" s="460"/>
      <c r="C54" s="460"/>
      <c r="D54" s="460"/>
      <c r="E54" s="460"/>
      <c r="F54" s="460"/>
      <c r="G54" s="460"/>
      <c r="H54" s="564"/>
      <c r="I54" s="458"/>
      <c r="J54" s="565"/>
      <c r="K54" s="565"/>
      <c r="L54" s="565"/>
      <c r="M54" s="87"/>
    </row>
    <row r="55" spans="1:13" ht="30" customHeight="1">
      <c r="A55" s="563"/>
      <c r="B55" s="460"/>
      <c r="C55" s="649" t="s">
        <v>340</v>
      </c>
      <c r="D55" s="650"/>
      <c r="E55" s="651"/>
      <c r="F55" s="460"/>
      <c r="G55" s="649" t="s">
        <v>347</v>
      </c>
      <c r="H55" s="650"/>
      <c r="I55" s="650"/>
      <c r="J55" s="651"/>
      <c r="K55" s="460"/>
      <c r="L55" s="460"/>
      <c r="M55" s="87"/>
    </row>
    <row r="56" spans="1:13" ht="15.9" customHeight="1">
      <c r="A56" s="566"/>
      <c r="B56" s="460"/>
      <c r="C56" s="652"/>
      <c r="D56" s="653"/>
      <c r="E56" s="654"/>
      <c r="F56" s="460"/>
      <c r="G56" s="652"/>
      <c r="H56" s="653"/>
      <c r="I56" s="653"/>
      <c r="J56" s="654"/>
      <c r="K56" s="460"/>
      <c r="L56" s="460"/>
      <c r="M56" s="87"/>
    </row>
    <row r="57" spans="1:13" ht="13.2" customHeight="1">
      <c r="B57" s="508"/>
      <c r="C57" s="655"/>
      <c r="D57" s="656"/>
      <c r="E57" s="657"/>
      <c r="F57" s="460"/>
      <c r="G57" s="655"/>
      <c r="H57" s="656"/>
      <c r="I57" s="656"/>
      <c r="J57" s="657"/>
      <c r="K57" s="509"/>
      <c r="L57" s="460"/>
      <c r="M57" s="87"/>
    </row>
    <row r="58" spans="1:13" ht="13.2" customHeight="1">
      <c r="A58" s="567" t="s">
        <v>91</v>
      </c>
      <c r="B58" s="460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87"/>
    </row>
    <row r="59" spans="1:13" ht="15.9" customHeight="1">
      <c r="A59" s="567" t="s">
        <v>334</v>
      </c>
      <c r="B59" s="460"/>
      <c r="C59" s="460"/>
      <c r="D59" s="460"/>
      <c r="E59" s="568" t="s">
        <v>323</v>
      </c>
      <c r="F59" s="460"/>
      <c r="G59" s="460"/>
      <c r="H59" s="460"/>
      <c r="I59" s="460"/>
      <c r="J59" s="460"/>
      <c r="K59" s="460"/>
      <c r="L59" s="460"/>
      <c r="M59" s="87"/>
    </row>
    <row r="60" spans="1:13" ht="3.75" customHeight="1"/>
    <row r="61" spans="1:13" ht="30.75" customHeight="1">
      <c r="A61" s="658" t="s">
        <v>324</v>
      </c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</row>
    <row r="62" spans="1:13" ht="15.9" customHeight="1"/>
    <row r="63" spans="1:13" ht="15.9" customHeight="1"/>
  </sheetData>
  <protectedRanges>
    <protectedRange sqref="C13 C16" name="Rango3_3_1_1_1_1_1_1_1_1"/>
    <protectedRange sqref="C57" name="Rango3_3_1_1_1_1_1_2_1"/>
  </protectedRanges>
  <mergeCells count="49">
    <mergeCell ref="C55:E57"/>
    <mergeCell ref="G55:J57"/>
    <mergeCell ref="A61:L61"/>
    <mergeCell ref="A28:D28"/>
    <mergeCell ref="E28:F28"/>
    <mergeCell ref="B47:D47"/>
    <mergeCell ref="H47:I48"/>
    <mergeCell ref="J47:L48"/>
    <mergeCell ref="B48:D48"/>
    <mergeCell ref="B49:D49"/>
    <mergeCell ref="B43:D43"/>
    <mergeCell ref="H43:I44"/>
    <mergeCell ref="J43:L44"/>
    <mergeCell ref="B44:D44"/>
    <mergeCell ref="B45:D45"/>
    <mergeCell ref="H45:I46"/>
    <mergeCell ref="J45:L46"/>
    <mergeCell ref="B46:F46"/>
    <mergeCell ref="C38:G38"/>
    <mergeCell ref="C39:G39"/>
    <mergeCell ref="B41:F41"/>
    <mergeCell ref="H41:I41"/>
    <mergeCell ref="J41:L41"/>
    <mergeCell ref="B42:D42"/>
    <mergeCell ref="H42:I42"/>
    <mergeCell ref="J42:L42"/>
    <mergeCell ref="C37:G37"/>
    <mergeCell ref="A27:D27"/>
    <mergeCell ref="E27:F27"/>
    <mergeCell ref="B30:G30"/>
    <mergeCell ref="J30:K30"/>
    <mergeCell ref="C31:G31"/>
    <mergeCell ref="C32:G32"/>
    <mergeCell ref="C33:G33"/>
    <mergeCell ref="C34:G34"/>
    <mergeCell ref="C35:G35"/>
    <mergeCell ref="C36:G36"/>
    <mergeCell ref="A25:D25"/>
    <mergeCell ref="E25:F25"/>
    <mergeCell ref="H25:J25"/>
    <mergeCell ref="A26:D26"/>
    <mergeCell ref="E26:F26"/>
    <mergeCell ref="H26:I26"/>
    <mergeCell ref="A24:D24"/>
    <mergeCell ref="A7:L7"/>
    <mergeCell ref="A8:L8"/>
    <mergeCell ref="A14:L14"/>
    <mergeCell ref="A15:L15"/>
    <mergeCell ref="A17:I17"/>
  </mergeCells>
  <conditionalFormatting sqref="A18:A22">
    <cfRule type="cellIs" priority="1" stopIfTrue="1" operator="between">
      <formula>5</formula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zoomScale="110" zoomScaleNormal="110" zoomScaleSheetLayoutView="120" workbookViewId="0">
      <selection activeCell="N24" sqref="N24"/>
    </sheetView>
  </sheetViews>
  <sheetFormatPr baseColWidth="10" defaultColWidth="10.33203125" defaultRowHeight="13.8"/>
  <cols>
    <col min="1" max="1" width="10.44140625" style="334" customWidth="1"/>
    <col min="2" max="2" width="3" style="334" customWidth="1"/>
    <col min="3" max="3" width="4.44140625" style="334" customWidth="1"/>
    <col min="4" max="4" width="1.5546875" style="334" customWidth="1"/>
    <col min="5" max="5" width="5.44140625" style="334" customWidth="1"/>
    <col min="6" max="8" width="9.6640625" style="334" customWidth="1"/>
    <col min="9" max="9" width="4.5546875" style="334" customWidth="1"/>
    <col min="10" max="10" width="6.44140625" style="334" customWidth="1"/>
    <col min="11" max="11" width="11.6640625" style="334" customWidth="1"/>
    <col min="12" max="12" width="10" style="334" customWidth="1"/>
    <col min="13" max="13" width="1.33203125" style="334" customWidth="1"/>
    <col min="14" max="14" width="13.5546875" style="334" customWidth="1"/>
    <col min="15" max="15" width="6.44140625" style="334" customWidth="1"/>
    <col min="16" max="16" width="1" style="334" customWidth="1"/>
    <col min="17" max="17" width="6.44140625" style="334" customWidth="1"/>
    <col min="18" max="16384" width="10.33203125" style="334"/>
  </cols>
  <sheetData>
    <row r="1" spans="1:17" ht="28.5" customHeight="1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spans="1:17" ht="15.9" customHeight="1">
      <c r="A2" s="572" t="s">
        <v>0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</row>
    <row r="3" spans="1:17" ht="15.9" customHeight="1">
      <c r="A3" s="668">
        <v>0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  <c r="N3" s="668"/>
    </row>
    <row r="4" spans="1:17" ht="15.9" customHeight="1"/>
    <row r="5" spans="1:17" ht="15" customHeight="1">
      <c r="A5" s="312" t="s">
        <v>1</v>
      </c>
      <c r="B5" s="177" t="s">
        <v>2</v>
      </c>
      <c r="C5" s="483">
        <f>+Resumen!P2</f>
        <v>0</v>
      </c>
      <c r="D5" s="484"/>
      <c r="E5" s="485"/>
      <c r="F5" s="485"/>
      <c r="G5" s="486"/>
      <c r="H5" s="486"/>
      <c r="I5" s="486"/>
      <c r="J5" s="486"/>
      <c r="K5" s="486"/>
      <c r="L5" s="27" t="s">
        <v>6</v>
      </c>
      <c r="M5" s="179" t="s">
        <v>2</v>
      </c>
      <c r="N5" s="178" t="s">
        <v>99</v>
      </c>
      <c r="Q5" s="335"/>
    </row>
    <row r="6" spans="1:17" ht="21" customHeight="1">
      <c r="A6" s="312" t="s">
        <v>100</v>
      </c>
      <c r="B6" s="177" t="s">
        <v>2</v>
      </c>
      <c r="C6" s="681">
        <f>+Resumen!P3</f>
        <v>0</v>
      </c>
      <c r="D6" s="681"/>
      <c r="E6" s="681"/>
      <c r="F6" s="681"/>
      <c r="G6" s="681"/>
      <c r="H6" s="681"/>
      <c r="I6" s="681"/>
      <c r="J6" s="681"/>
      <c r="K6" s="681"/>
      <c r="L6" s="488" t="s">
        <v>267</v>
      </c>
      <c r="M6" s="177" t="s">
        <v>2</v>
      </c>
      <c r="N6" s="453">
        <f>+Resumen!P7</f>
        <v>0</v>
      </c>
      <c r="O6" s="335"/>
      <c r="P6" s="335"/>
      <c r="Q6" s="335"/>
    </row>
    <row r="7" spans="1:17" ht="15" customHeight="1">
      <c r="A7" s="312" t="s">
        <v>8</v>
      </c>
      <c r="B7" s="177" t="s">
        <v>2</v>
      </c>
      <c r="C7" s="483">
        <f>+Resumen!P4</f>
        <v>0</v>
      </c>
      <c r="D7" s="484"/>
      <c r="E7" s="485"/>
      <c r="F7" s="485"/>
      <c r="G7" s="487"/>
      <c r="H7" s="487"/>
      <c r="I7" s="487"/>
      <c r="J7" s="487"/>
      <c r="K7" s="487"/>
      <c r="L7" s="27" t="s">
        <v>101</v>
      </c>
      <c r="M7" s="177" t="s">
        <v>2</v>
      </c>
      <c r="N7" s="381">
        <f>+Resumen!P8</f>
        <v>0</v>
      </c>
      <c r="O7" s="335"/>
      <c r="P7" s="335"/>
      <c r="Q7" s="335"/>
    </row>
    <row r="8" spans="1:17" ht="15" customHeight="1">
      <c r="A8" s="312" t="s">
        <v>11</v>
      </c>
      <c r="B8" s="177" t="s">
        <v>2</v>
      </c>
      <c r="C8" s="681">
        <f>+Resumen!P5</f>
        <v>0</v>
      </c>
      <c r="D8" s="681"/>
      <c r="E8" s="681"/>
      <c r="F8" s="681"/>
      <c r="G8" s="681"/>
      <c r="H8" s="681"/>
      <c r="I8" s="681"/>
      <c r="J8" s="681"/>
      <c r="K8" s="681"/>
      <c r="L8" s="681"/>
      <c r="M8" s="181"/>
      <c r="N8" s="180"/>
      <c r="O8" s="335"/>
      <c r="P8" s="335"/>
      <c r="Q8" s="335"/>
    </row>
    <row r="9" spans="1:17" ht="14.25" customHeight="1">
      <c r="A9" s="306" t="s">
        <v>14</v>
      </c>
      <c r="B9" s="336"/>
      <c r="C9" s="336"/>
      <c r="D9" s="20"/>
      <c r="E9" s="33"/>
      <c r="F9" s="33"/>
      <c r="G9" s="33"/>
      <c r="H9" s="33"/>
      <c r="I9" s="33"/>
      <c r="J9" s="33"/>
      <c r="K9" s="33"/>
      <c r="L9" s="27"/>
      <c r="M9" s="20"/>
      <c r="N9" s="34"/>
      <c r="O9" s="335"/>
      <c r="P9" s="335"/>
      <c r="Q9" s="335"/>
    </row>
    <row r="10" spans="1:17">
      <c r="A10" s="669" t="s">
        <v>102</v>
      </c>
      <c r="B10" s="670"/>
      <c r="C10" s="670"/>
      <c r="D10" s="670"/>
      <c r="E10" s="670"/>
      <c r="F10" s="670"/>
      <c r="G10" s="670"/>
      <c r="H10" s="670"/>
      <c r="I10" s="670"/>
      <c r="J10" s="670"/>
      <c r="K10" s="670"/>
      <c r="L10" s="670"/>
      <c r="M10" s="670"/>
      <c r="N10" s="671"/>
      <c r="O10" s="335"/>
      <c r="P10" s="335"/>
      <c r="Q10" s="335"/>
    </row>
    <row r="11" spans="1:17" ht="12" customHeight="1">
      <c r="A11" s="672" t="s">
        <v>103</v>
      </c>
      <c r="B11" s="673"/>
      <c r="C11" s="673"/>
      <c r="D11" s="673"/>
      <c r="E11" s="673"/>
      <c r="F11" s="673"/>
      <c r="G11" s="673"/>
      <c r="H11" s="673"/>
      <c r="I11" s="673"/>
      <c r="J11" s="673"/>
      <c r="K11" s="673"/>
      <c r="L11" s="673"/>
      <c r="M11" s="673"/>
      <c r="N11" s="674"/>
      <c r="O11" s="335"/>
      <c r="P11" s="335"/>
      <c r="Q11" s="335"/>
    </row>
    <row r="12" spans="1:17" ht="6" customHeight="1">
      <c r="A12" s="191"/>
      <c r="B12" s="192"/>
      <c r="C12" s="192"/>
      <c r="D12" s="192"/>
      <c r="E12" s="182"/>
      <c r="F12" s="182"/>
      <c r="G12" s="182"/>
      <c r="H12" s="182"/>
      <c r="I12" s="182"/>
      <c r="J12" s="182"/>
      <c r="K12" s="36"/>
      <c r="L12" s="37"/>
      <c r="M12" s="35"/>
      <c r="N12" s="183"/>
      <c r="O12" s="335"/>
      <c r="P12" s="335"/>
      <c r="Q12" s="335"/>
    </row>
    <row r="13" spans="1:17" ht="15" customHeight="1">
      <c r="A13" s="382" t="s">
        <v>17</v>
      </c>
      <c r="B13" s="383"/>
      <c r="C13" s="383"/>
      <c r="D13" s="384"/>
      <c r="E13" s="385"/>
      <c r="F13" s="385"/>
      <c r="G13" s="385"/>
      <c r="H13" s="385"/>
      <c r="I13" s="385"/>
      <c r="J13" s="385"/>
      <c r="K13" s="39"/>
      <c r="L13" s="43"/>
      <c r="M13" s="190"/>
      <c r="N13" s="184"/>
      <c r="Q13" s="335"/>
    </row>
    <row r="14" spans="1:17" ht="15" customHeight="1">
      <c r="A14" s="40" t="s">
        <v>104</v>
      </c>
      <c r="B14" s="386"/>
      <c r="C14" s="386"/>
      <c r="D14" s="41" t="s">
        <v>2</v>
      </c>
      <c r="E14" s="178">
        <f>+Resumen!P15</f>
        <v>0</v>
      </c>
      <c r="F14" s="178"/>
      <c r="G14" s="177"/>
      <c r="I14" s="178"/>
      <c r="J14" s="178"/>
      <c r="K14" s="190"/>
      <c r="L14" s="43" t="s">
        <v>105</v>
      </c>
      <c r="M14" s="190" t="s">
        <v>2</v>
      </c>
      <c r="N14" s="452">
        <f>+Resumen!D11</f>
        <v>0</v>
      </c>
      <c r="Q14" s="335"/>
    </row>
    <row r="15" spans="1:17" ht="15" customHeight="1">
      <c r="A15" s="40" t="s">
        <v>25</v>
      </c>
      <c r="B15" s="386"/>
      <c r="C15" s="386"/>
      <c r="D15" s="41" t="s">
        <v>2</v>
      </c>
      <c r="E15" s="178">
        <f>+Resumen!P16</f>
        <v>0</v>
      </c>
      <c r="F15" s="178"/>
      <c r="G15" s="177"/>
      <c r="I15" s="178"/>
      <c r="J15" s="178"/>
      <c r="K15" s="190"/>
      <c r="L15" s="43" t="s">
        <v>22</v>
      </c>
      <c r="M15" s="190" t="s">
        <v>2</v>
      </c>
      <c r="N15" s="387">
        <f>+Resumen!P12</f>
        <v>0</v>
      </c>
      <c r="Q15" s="335"/>
    </row>
    <row r="16" spans="1:17" ht="15" customHeight="1">
      <c r="A16" s="40" t="s">
        <v>265</v>
      </c>
      <c r="B16" s="386"/>
      <c r="C16" s="386"/>
      <c r="D16" s="41" t="s">
        <v>2</v>
      </c>
      <c r="E16" s="353">
        <f>+Resumen!E25</f>
        <v>0</v>
      </c>
      <c r="F16" s="353"/>
      <c r="G16" s="353"/>
      <c r="I16" s="178"/>
      <c r="J16" s="178"/>
      <c r="K16" s="190"/>
      <c r="L16" s="43" t="s">
        <v>27</v>
      </c>
      <c r="M16" s="190" t="s">
        <v>2</v>
      </c>
      <c r="N16" s="387">
        <f>+Resumen!P13</f>
        <v>0</v>
      </c>
      <c r="Q16" s="474">
        <f>+Resumen!G11</f>
        <v>0</v>
      </c>
    </row>
    <row r="17" spans="1:17" ht="15" customHeight="1">
      <c r="A17" s="155" t="s">
        <v>33</v>
      </c>
      <c r="B17" s="201"/>
      <c r="C17" s="201"/>
      <c r="D17" s="156" t="s">
        <v>2</v>
      </c>
      <c r="E17" s="185" t="s">
        <v>0</v>
      </c>
      <c r="F17" s="185"/>
      <c r="G17" s="337"/>
      <c r="H17" s="337"/>
      <c r="I17" s="337"/>
      <c r="J17" s="337"/>
      <c r="K17" s="319"/>
      <c r="L17" s="318" t="s">
        <v>107</v>
      </c>
      <c r="M17" s="319" t="s">
        <v>2</v>
      </c>
      <c r="N17" s="320" t="str">
        <f>+'Datos ensayo'!D15</f>
        <v>D.I.C</v>
      </c>
      <c r="Q17" s="335"/>
    </row>
    <row r="18" spans="1:17" ht="6.75" customHeight="1">
      <c r="A18" s="328"/>
      <c r="B18" s="328"/>
      <c r="C18" s="328"/>
      <c r="D18" s="677"/>
      <c r="E18" s="677"/>
      <c r="F18" s="328"/>
      <c r="G18" s="328"/>
      <c r="H18" s="328"/>
      <c r="I18" s="328"/>
      <c r="J18" s="328"/>
      <c r="K18" s="328"/>
      <c r="L18" s="677"/>
      <c r="M18" s="677"/>
      <c r="N18" s="328"/>
      <c r="O18" s="335"/>
      <c r="P18" s="335"/>
      <c r="Q18" s="335"/>
    </row>
    <row r="19" spans="1:17" ht="18" customHeight="1">
      <c r="A19" s="328"/>
      <c r="B19" s="328"/>
      <c r="C19" s="328"/>
      <c r="D19" s="678" t="s">
        <v>108</v>
      </c>
      <c r="E19" s="678"/>
      <c r="F19" s="678"/>
      <c r="G19" s="678"/>
      <c r="H19" s="678"/>
      <c r="I19" s="678"/>
      <c r="J19" s="329" t="s">
        <v>109</v>
      </c>
      <c r="K19" s="329" t="s">
        <v>110</v>
      </c>
      <c r="L19" s="328"/>
      <c r="M19" s="328"/>
      <c r="N19" s="328"/>
      <c r="O19" s="335"/>
      <c r="P19" s="335"/>
      <c r="Q19" s="335"/>
    </row>
    <row r="20" spans="1:17" ht="17.25" customHeight="1">
      <c r="A20" s="190"/>
      <c r="B20" s="190"/>
      <c r="C20" s="338"/>
      <c r="D20" s="50" t="s">
        <v>35</v>
      </c>
      <c r="E20" s="339"/>
      <c r="F20" s="339"/>
      <c r="G20" s="339"/>
      <c r="H20" s="51"/>
      <c r="I20" s="52"/>
      <c r="J20" s="53" t="s">
        <v>36</v>
      </c>
      <c r="K20" s="448">
        <f>+'Datos ensayo'!G17</f>
        <v>1</v>
      </c>
      <c r="L20" s="675"/>
      <c r="M20" s="675"/>
      <c r="N20" s="330"/>
      <c r="O20" s="335"/>
      <c r="P20" s="335"/>
      <c r="Q20" s="335"/>
    </row>
    <row r="21" spans="1:17" ht="17.25" customHeight="1">
      <c r="A21" s="190"/>
      <c r="B21" s="190"/>
      <c r="C21" s="338"/>
      <c r="D21" s="50" t="s">
        <v>111</v>
      </c>
      <c r="E21" s="340"/>
      <c r="F21" s="340"/>
      <c r="G21" s="340"/>
      <c r="H21" s="51"/>
      <c r="I21" s="52"/>
      <c r="J21" s="53" t="s">
        <v>36</v>
      </c>
      <c r="K21" s="447">
        <f>+'Datos ensayo'!G18</f>
        <v>0</v>
      </c>
      <c r="L21" s="675"/>
      <c r="M21" s="675"/>
      <c r="N21" s="330"/>
      <c r="O21" s="335"/>
      <c r="P21" s="335"/>
      <c r="Q21" s="335"/>
    </row>
    <row r="22" spans="1:17" ht="17.25" customHeight="1">
      <c r="A22" s="190"/>
      <c r="B22" s="190"/>
      <c r="C22" s="338"/>
      <c r="D22" s="50" t="s">
        <v>112</v>
      </c>
      <c r="E22" s="340"/>
      <c r="F22" s="340"/>
      <c r="G22" s="340"/>
      <c r="H22" s="51"/>
      <c r="I22" s="52"/>
      <c r="J22" s="53" t="s">
        <v>41</v>
      </c>
      <c r="K22" s="447" t="str">
        <f>+'Datos ensayo'!H19</f>
        <v>0.00</v>
      </c>
      <c r="L22" s="676"/>
      <c r="M22" s="676"/>
      <c r="N22" s="331"/>
      <c r="O22" s="341"/>
      <c r="P22" s="341"/>
      <c r="Q22" s="335"/>
    </row>
    <row r="23" spans="1:17" ht="17.25" customHeight="1">
      <c r="A23" s="190"/>
      <c r="B23" s="190"/>
      <c r="C23" s="338"/>
      <c r="D23" s="50" t="s">
        <v>113</v>
      </c>
      <c r="E23" s="340"/>
      <c r="F23" s="340"/>
      <c r="G23" s="340"/>
      <c r="H23" s="51"/>
      <c r="I23" s="52"/>
      <c r="J23" s="53" t="s">
        <v>41</v>
      </c>
      <c r="K23" s="447" t="str">
        <f>+'Datos ensayo'!H21</f>
        <v>0.00</v>
      </c>
      <c r="L23" s="13"/>
      <c r="M23" s="13"/>
      <c r="N23" s="13"/>
      <c r="O23" s="335"/>
      <c r="P23" s="335"/>
      <c r="Q23" s="335"/>
    </row>
    <row r="24" spans="1:17" ht="17.25" customHeight="1">
      <c r="A24" s="190"/>
      <c r="B24" s="190"/>
      <c r="C24" s="338"/>
      <c r="D24" s="50" t="s">
        <v>114</v>
      </c>
      <c r="E24" s="340"/>
      <c r="F24" s="340"/>
      <c r="G24" s="340"/>
      <c r="H24" s="51"/>
      <c r="I24" s="52"/>
      <c r="J24" s="53" t="s">
        <v>41</v>
      </c>
      <c r="K24" s="447" t="str">
        <f>+'Datos ensayo'!H22</f>
        <v>0.00</v>
      </c>
      <c r="L24" s="13"/>
      <c r="M24" s="13"/>
      <c r="N24" s="13"/>
      <c r="O24" s="335"/>
      <c r="P24" s="335"/>
      <c r="Q24" s="335"/>
    </row>
    <row r="25" spans="1:17" ht="17.25" customHeight="1">
      <c r="A25" s="190"/>
      <c r="B25" s="190"/>
      <c r="C25" s="338"/>
      <c r="D25" s="50" t="s">
        <v>115</v>
      </c>
      <c r="E25" s="340"/>
      <c r="F25" s="340"/>
      <c r="G25" s="340"/>
      <c r="H25" s="51"/>
      <c r="I25" s="52"/>
      <c r="J25" s="53" t="s">
        <v>41</v>
      </c>
      <c r="K25" s="448" t="str">
        <f>+'Datos ensayo'!H23</f>
        <v>0.00</v>
      </c>
      <c r="L25" s="13"/>
      <c r="M25" s="13"/>
      <c r="N25" s="13"/>
      <c r="O25" s="335"/>
      <c r="P25" s="335"/>
      <c r="Q25" s="335"/>
    </row>
    <row r="26" spans="1:17" ht="17.25" customHeight="1">
      <c r="A26" s="13"/>
      <c r="B26" s="13"/>
      <c r="C26" s="332"/>
      <c r="D26" s="50" t="s">
        <v>116</v>
      </c>
      <c r="E26" s="340"/>
      <c r="F26" s="340"/>
      <c r="G26" s="340"/>
      <c r="H26" s="51"/>
      <c r="I26" s="52"/>
      <c r="J26" s="53" t="s">
        <v>41</v>
      </c>
      <c r="K26" s="448" t="str">
        <f>+'Datos ensayo'!H24</f>
        <v>0.00</v>
      </c>
      <c r="L26" s="333"/>
      <c r="M26" s="13"/>
      <c r="N26" s="13"/>
      <c r="O26" s="335"/>
      <c r="P26" s="335"/>
      <c r="Q26" s="335"/>
    </row>
    <row r="27" spans="1:17" ht="17.25" customHeight="1">
      <c r="A27" s="190"/>
      <c r="B27" s="190"/>
      <c r="C27" s="338"/>
      <c r="D27" s="142" t="s">
        <v>117</v>
      </c>
      <c r="E27" s="339"/>
      <c r="F27" s="339"/>
      <c r="G27" s="339"/>
      <c r="H27" s="144"/>
      <c r="I27" s="145"/>
      <c r="J27" s="146" t="s">
        <v>56</v>
      </c>
      <c r="K27" s="348" t="e">
        <f>+'Datos ensayo'!H25</f>
        <v>#DIV/0!</v>
      </c>
      <c r="L27" s="13"/>
      <c r="M27" s="13"/>
      <c r="N27" s="13"/>
      <c r="O27" s="335"/>
      <c r="P27" s="335"/>
      <c r="Q27" s="335"/>
    </row>
    <row r="28" spans="1:17" ht="4.5" customHeight="1">
      <c r="A28" s="190"/>
      <c r="B28" s="190"/>
      <c r="C28" s="190"/>
      <c r="D28" s="342"/>
      <c r="E28" s="21"/>
      <c r="F28" s="21"/>
      <c r="G28" s="343"/>
      <c r="H28" s="190"/>
      <c r="I28" s="190"/>
      <c r="J28" s="190"/>
      <c r="K28" s="190"/>
      <c r="L28" s="190"/>
      <c r="M28" s="13"/>
      <c r="N28" s="13"/>
      <c r="O28" s="335"/>
      <c r="P28" s="335"/>
      <c r="Q28" s="335"/>
    </row>
    <row r="29" spans="1:17" ht="15.9" customHeight="1">
      <c r="A29" s="170" t="s">
        <v>118</v>
      </c>
      <c r="B29" s="170"/>
      <c r="C29" s="170"/>
      <c r="D29" s="159"/>
      <c r="E29" s="159"/>
      <c r="F29" s="159"/>
      <c r="G29" s="160"/>
      <c r="H29" s="161"/>
      <c r="I29" s="160"/>
      <c r="J29" s="193"/>
      <c r="K29" s="193"/>
      <c r="L29" s="194"/>
      <c r="M29" s="159"/>
      <c r="N29" s="159"/>
      <c r="O29" s="335"/>
      <c r="P29" s="335"/>
      <c r="Q29" s="335"/>
    </row>
    <row r="30" spans="1:17" ht="15.9" customHeight="1">
      <c r="A30" s="376" t="s">
        <v>119</v>
      </c>
      <c r="B30" s="170"/>
      <c r="C30" s="170"/>
      <c r="D30" s="159"/>
      <c r="E30" s="159"/>
      <c r="F30" s="159"/>
      <c r="G30" s="160"/>
      <c r="H30" s="161"/>
      <c r="I30" s="160"/>
      <c r="J30" s="193"/>
      <c r="K30" s="193"/>
      <c r="L30" s="468">
        <f>+Resumen!J26</f>
        <v>0</v>
      </c>
      <c r="M30" s="159"/>
      <c r="N30" s="159"/>
      <c r="O30" s="335"/>
      <c r="P30" s="335"/>
      <c r="Q30" s="335"/>
    </row>
    <row r="31" spans="1:17" ht="15.9" customHeight="1">
      <c r="A31" s="376" t="s">
        <v>120</v>
      </c>
      <c r="B31" s="170"/>
      <c r="C31" s="170"/>
      <c r="D31" s="159"/>
      <c r="E31" s="159"/>
      <c r="F31" s="159"/>
      <c r="G31" s="160"/>
      <c r="H31" s="161"/>
      <c r="I31" s="160"/>
      <c r="J31" s="193"/>
      <c r="K31" s="193"/>
      <c r="L31" s="454">
        <f>+Resumen!J18</f>
        <v>0</v>
      </c>
      <c r="M31" s="159"/>
      <c r="N31" s="159"/>
      <c r="O31" s="335"/>
      <c r="P31" s="335"/>
      <c r="Q31" s="335"/>
    </row>
    <row r="32" spans="1:17" ht="15.9" customHeight="1">
      <c r="A32" s="376" t="s">
        <v>121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454">
        <f>+Resumen!J19</f>
        <v>0</v>
      </c>
      <c r="M32" s="159"/>
      <c r="N32" s="159"/>
      <c r="O32" s="335"/>
      <c r="P32" s="335"/>
      <c r="Q32" s="335"/>
    </row>
    <row r="33" spans="1:17" ht="15.9" customHeight="1">
      <c r="A33" s="376" t="s">
        <v>122</v>
      </c>
      <c r="B33" s="195"/>
      <c r="C33" s="195"/>
      <c r="D33" s="195"/>
      <c r="E33" s="195"/>
      <c r="F33" s="195"/>
      <c r="G33" s="195"/>
      <c r="H33" s="195"/>
      <c r="I33" s="197"/>
      <c r="J33" s="197"/>
      <c r="K33" s="197"/>
      <c r="L33" s="454">
        <f>+Resumen!J20</f>
        <v>0</v>
      </c>
      <c r="M33" s="159"/>
      <c r="N33" s="159"/>
      <c r="O33" s="335"/>
      <c r="P33" s="335"/>
      <c r="Q33" s="335"/>
    </row>
    <row r="34" spans="1:17" ht="14.25" customHeight="1">
      <c r="A34" s="376" t="s">
        <v>123</v>
      </c>
      <c r="B34" s="195"/>
      <c r="C34" s="195"/>
      <c r="D34" s="195"/>
      <c r="E34" s="195"/>
      <c r="F34" s="195"/>
      <c r="G34" s="195"/>
      <c r="H34" s="195"/>
      <c r="I34" s="197"/>
      <c r="J34" s="197"/>
      <c r="K34" s="197"/>
      <c r="L34" s="454">
        <f>+Resumen!J21</f>
        <v>0</v>
      </c>
      <c r="M34" s="159"/>
      <c r="N34" s="159"/>
      <c r="O34" s="335"/>
      <c r="P34" s="335"/>
      <c r="Q34" s="335"/>
    </row>
    <row r="35" spans="1:17" ht="5.25" customHeight="1">
      <c r="A35" s="376"/>
      <c r="B35" s="195"/>
      <c r="C35" s="195"/>
      <c r="D35" s="195"/>
      <c r="E35" s="195"/>
      <c r="F35" s="195"/>
      <c r="G35" s="195"/>
      <c r="H35" s="195"/>
      <c r="I35" s="197"/>
      <c r="J35" s="197"/>
      <c r="K35" s="197"/>
      <c r="L35" s="374"/>
      <c r="M35" s="159"/>
      <c r="N35" s="159"/>
      <c r="O35" s="335"/>
      <c r="P35" s="335"/>
      <c r="Q35" s="335"/>
    </row>
    <row r="36" spans="1:17" ht="14.25" customHeight="1">
      <c r="A36" s="170" t="s">
        <v>258</v>
      </c>
      <c r="B36" s="195"/>
      <c r="C36" s="195"/>
      <c r="D36" s="195"/>
      <c r="E36" s="195"/>
      <c r="F36" s="195"/>
      <c r="G36" s="195"/>
      <c r="H36" s="195"/>
      <c r="I36" s="197"/>
      <c r="J36" s="197"/>
      <c r="K36" s="197"/>
      <c r="L36" s="374"/>
      <c r="M36" s="159"/>
      <c r="N36" s="159"/>
      <c r="O36" s="335"/>
      <c r="P36" s="335"/>
      <c r="Q36" s="335"/>
    </row>
    <row r="37" spans="1:17" ht="14.25" customHeight="1">
      <c r="A37" s="377" t="s">
        <v>260</v>
      </c>
      <c r="B37" s="195"/>
      <c r="C37" s="195"/>
      <c r="D37" s="195"/>
      <c r="E37" s="195"/>
      <c r="F37" s="195"/>
      <c r="G37" s="195"/>
      <c r="H37" s="195"/>
      <c r="I37" s="197"/>
      <c r="J37" s="197"/>
      <c r="K37" s="680">
        <f>+Resumen!E27</f>
        <v>0</v>
      </c>
      <c r="L37" s="680"/>
      <c r="M37" s="159"/>
      <c r="N37" s="159"/>
      <c r="O37" s="335"/>
      <c r="P37" s="335"/>
      <c r="Q37" s="335"/>
    </row>
    <row r="38" spans="1:17" ht="14.25" customHeight="1">
      <c r="A38" s="377" t="s">
        <v>259</v>
      </c>
      <c r="B38" s="195"/>
      <c r="C38" s="195"/>
      <c r="D38" s="195"/>
      <c r="E38" s="195"/>
      <c r="F38" s="195"/>
      <c r="G38" s="195"/>
      <c r="H38" s="195"/>
      <c r="I38" s="197"/>
      <c r="J38" s="197"/>
      <c r="K38" s="679">
        <f>+Resumen!E28</f>
        <v>0</v>
      </c>
      <c r="L38" s="679"/>
      <c r="M38" s="159"/>
      <c r="N38" s="159"/>
      <c r="O38" s="335"/>
      <c r="P38" s="335"/>
      <c r="Q38" s="335"/>
    </row>
    <row r="39" spans="1:17" ht="6" customHeight="1">
      <c r="M39" s="159"/>
      <c r="N39" s="159"/>
      <c r="O39" s="335"/>
      <c r="P39" s="335"/>
      <c r="Q39" s="335"/>
    </row>
    <row r="40" spans="1:17" ht="10.5" customHeight="1">
      <c r="A40" s="170" t="s">
        <v>124</v>
      </c>
      <c r="B40" s="190"/>
      <c r="C40" s="190"/>
      <c r="D40" s="190"/>
      <c r="E40" s="190"/>
      <c r="F40" s="190"/>
      <c r="G40" s="186"/>
      <c r="H40" s="13"/>
      <c r="I40" s="13"/>
      <c r="J40" s="13"/>
      <c r="K40" s="13"/>
      <c r="L40" s="13"/>
      <c r="M40" s="13"/>
      <c r="N40" s="13"/>
      <c r="O40" s="335"/>
      <c r="P40" s="335"/>
      <c r="Q40" s="335"/>
    </row>
    <row r="41" spans="1:17" ht="15" customHeight="1">
      <c r="A41" s="199" t="s">
        <v>125</v>
      </c>
      <c r="B41" s="190"/>
      <c r="C41" s="190"/>
      <c r="D41" s="190"/>
      <c r="E41" s="190"/>
      <c r="F41" s="190"/>
      <c r="G41" s="186"/>
      <c r="H41" s="13"/>
      <c r="I41" s="13"/>
      <c r="J41" s="13"/>
      <c r="K41" s="13"/>
      <c r="L41" s="13"/>
      <c r="M41" s="13"/>
      <c r="N41" s="13"/>
      <c r="O41" s="335"/>
      <c r="P41" s="335"/>
      <c r="Q41" s="335"/>
    </row>
    <row r="42" spans="1:17" ht="15" customHeight="1">
      <c r="A42" s="199" t="s">
        <v>126</v>
      </c>
      <c r="B42" s="199"/>
      <c r="C42" s="199"/>
      <c r="O42" s="335"/>
      <c r="P42" s="335"/>
      <c r="Q42" s="335"/>
    </row>
    <row r="43" spans="1:17" ht="24" customHeight="1">
      <c r="A43" s="665" t="s">
        <v>127</v>
      </c>
      <c r="B43" s="665"/>
      <c r="C43" s="665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335"/>
      <c r="P43" s="335"/>
      <c r="Q43" s="335"/>
    </row>
    <row r="44" spans="1:17" ht="15" customHeight="1">
      <c r="A44" s="199" t="s">
        <v>128</v>
      </c>
      <c r="B44" s="199"/>
      <c r="C44" s="199"/>
      <c r="O44" s="335"/>
      <c r="P44" s="335"/>
      <c r="Q44" s="335"/>
    </row>
    <row r="45" spans="1:17" ht="23.25" customHeight="1">
      <c r="A45" s="665" t="s">
        <v>266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335"/>
      <c r="P45" s="335"/>
      <c r="Q45" s="335"/>
    </row>
    <row r="46" spans="1:17" ht="5.25" customHeight="1">
      <c r="A46" s="195"/>
      <c r="B46" s="199"/>
      <c r="C46" s="199"/>
      <c r="O46" s="335"/>
      <c r="P46" s="335"/>
      <c r="Q46" s="335"/>
    </row>
    <row r="47" spans="1:17" ht="19.5" customHeight="1">
      <c r="A47" s="170" t="s">
        <v>98</v>
      </c>
      <c r="B47" s="199"/>
      <c r="C47" s="311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35"/>
      <c r="P47" s="335"/>
      <c r="Q47" s="335"/>
    </row>
    <row r="48" spans="1:17" ht="15" customHeight="1">
      <c r="A48" s="199"/>
      <c r="B48" s="199"/>
      <c r="C48" s="199"/>
      <c r="K48" s="664"/>
      <c r="L48" s="664"/>
      <c r="M48" s="664"/>
      <c r="N48" s="664"/>
      <c r="O48" s="335"/>
      <c r="P48" s="335"/>
      <c r="Q48" s="335"/>
    </row>
    <row r="49" spans="1:17" ht="66.75" customHeight="1">
      <c r="A49" s="199"/>
      <c r="B49" s="199"/>
      <c r="C49" s="199"/>
      <c r="G49"/>
      <c r="K49" s="375"/>
      <c r="L49" s="375"/>
      <c r="M49" s="375"/>
      <c r="N49" s="375"/>
      <c r="O49" s="335"/>
      <c r="P49" s="335"/>
      <c r="Q49" s="335"/>
    </row>
    <row r="50" spans="1:17">
      <c r="A50" s="199"/>
      <c r="B50" s="199"/>
      <c r="C50" s="199"/>
      <c r="K50" s="664"/>
      <c r="L50" s="664"/>
      <c r="M50" s="664"/>
      <c r="N50" s="664"/>
      <c r="O50" s="335"/>
      <c r="P50" s="335"/>
      <c r="Q50" s="335"/>
    </row>
    <row r="51" spans="1:17">
      <c r="A51" s="197" t="s">
        <v>91</v>
      </c>
      <c r="B51" s="197"/>
      <c r="C51" s="197"/>
      <c r="D51" s="342"/>
      <c r="E51" s="342"/>
      <c r="F51" s="342"/>
      <c r="G51" s="342"/>
      <c r="H51" s="342"/>
      <c r="I51" s="342"/>
      <c r="J51" s="342"/>
      <c r="K51" s="664"/>
      <c r="L51" s="664"/>
      <c r="M51" s="664"/>
      <c r="N51" s="664"/>
    </row>
    <row r="52" spans="1:17" ht="11.25" customHeight="1">
      <c r="A52" s="197" t="s">
        <v>268</v>
      </c>
      <c r="B52" s="197"/>
      <c r="C52" s="197"/>
      <c r="D52" s="342"/>
      <c r="E52" s="342"/>
      <c r="F52" s="342"/>
      <c r="G52" s="342"/>
      <c r="H52" s="342"/>
      <c r="I52" s="342"/>
      <c r="J52" s="342"/>
      <c r="K52" s="664" t="s">
        <v>129</v>
      </c>
      <c r="L52" s="664"/>
      <c r="M52" s="664"/>
      <c r="N52" s="664"/>
    </row>
    <row r="53" spans="1:17" ht="15.9" customHeight="1">
      <c r="M53" s="187"/>
      <c r="N53" s="335"/>
    </row>
    <row r="54" spans="1:17">
      <c r="M54" s="188"/>
      <c r="N54" s="335"/>
    </row>
    <row r="55" spans="1:17">
      <c r="M55" s="335"/>
      <c r="N55" s="335"/>
    </row>
    <row r="56" spans="1:17">
      <c r="M56" s="335"/>
      <c r="N56" s="335"/>
    </row>
    <row r="57" spans="1:17">
      <c r="A57" s="335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</row>
    <row r="58" spans="1:17" ht="11.2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</row>
    <row r="59" spans="1:17" ht="30" customHeight="1">
      <c r="A59" s="667"/>
      <c r="B59" s="667"/>
      <c r="C59" s="667"/>
      <c r="D59" s="667"/>
      <c r="E59" s="667"/>
      <c r="F59" s="667"/>
      <c r="G59" s="667"/>
      <c r="H59" s="667"/>
      <c r="I59" s="667"/>
      <c r="J59" s="667"/>
      <c r="K59" s="667"/>
      <c r="L59" s="667"/>
      <c r="M59" s="667"/>
      <c r="N59" s="667"/>
    </row>
    <row r="60" spans="1:17" ht="30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342"/>
      <c r="N60" s="342"/>
    </row>
    <row r="61" spans="1:17" ht="39.75" customHeight="1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</row>
    <row r="62" spans="1:17" ht="30" customHeight="1">
      <c r="A62" s="196"/>
      <c r="B62" s="196"/>
      <c r="C62" s="196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</row>
    <row r="63" spans="1:17">
      <c r="A63" s="345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</row>
    <row r="70" spans="11:14">
      <c r="K70" s="335"/>
      <c r="L70" s="335"/>
      <c r="M70" s="335"/>
      <c r="N70" s="335"/>
    </row>
    <row r="71" spans="11:14">
      <c r="K71" s="335"/>
      <c r="L71" s="335"/>
      <c r="M71" s="335"/>
      <c r="N71" s="335"/>
    </row>
    <row r="72" spans="11:14">
      <c r="K72" s="335"/>
      <c r="L72" s="335"/>
      <c r="M72" s="335"/>
      <c r="N72" s="335"/>
    </row>
    <row r="73" spans="11:14">
      <c r="K73" s="335"/>
      <c r="L73" s="335"/>
      <c r="M73" s="335"/>
      <c r="N73" s="335"/>
    </row>
    <row r="74" spans="11:14">
      <c r="K74" s="335"/>
      <c r="L74" s="335"/>
      <c r="M74" s="335"/>
      <c r="N74" s="335"/>
    </row>
    <row r="75" spans="11:14">
      <c r="K75" s="335"/>
      <c r="L75" s="335"/>
      <c r="M75" s="335"/>
      <c r="N75" s="335"/>
    </row>
    <row r="76" spans="11:14">
      <c r="K76" s="335"/>
      <c r="L76" s="335"/>
      <c r="M76" s="335"/>
      <c r="N76" s="335"/>
    </row>
    <row r="77" spans="11:14">
      <c r="K77" s="335"/>
      <c r="L77" s="335"/>
      <c r="M77" s="335"/>
      <c r="N77" s="335"/>
    </row>
    <row r="78" spans="11:14">
      <c r="K78" s="346"/>
      <c r="L78" s="346"/>
      <c r="M78" s="346"/>
      <c r="N78" s="335"/>
    </row>
    <row r="79" spans="11:14">
      <c r="K79" s="666"/>
      <c r="L79" s="666"/>
      <c r="M79" s="666"/>
      <c r="N79" s="335"/>
    </row>
    <row r="80" spans="11:14">
      <c r="K80" s="666"/>
      <c r="L80" s="666"/>
      <c r="M80" s="666"/>
      <c r="N80" s="335"/>
    </row>
    <row r="81" spans="1:14">
      <c r="K81" s="347"/>
      <c r="L81" s="347"/>
      <c r="M81" s="347"/>
      <c r="N81" s="335"/>
    </row>
    <row r="82" spans="1:14">
      <c r="K82" s="347"/>
      <c r="L82" s="347"/>
      <c r="M82" s="347"/>
      <c r="N82" s="335"/>
    </row>
    <row r="83" spans="1:14">
      <c r="K83" s="347"/>
      <c r="L83" s="347"/>
      <c r="M83" s="347"/>
      <c r="N83" s="335"/>
    </row>
    <row r="84" spans="1:14">
      <c r="K84" s="347"/>
      <c r="L84" s="347"/>
      <c r="M84" s="347"/>
      <c r="N84" s="335"/>
    </row>
    <row r="85" spans="1:14">
      <c r="K85" s="347"/>
      <c r="L85" s="347"/>
      <c r="M85" s="347"/>
      <c r="N85" s="335"/>
    </row>
    <row r="86" spans="1:14">
      <c r="K86" s="347"/>
      <c r="L86" s="347"/>
      <c r="M86" s="347"/>
      <c r="N86" s="335"/>
    </row>
    <row r="87" spans="1:14">
      <c r="K87" s="347"/>
      <c r="L87" s="347"/>
      <c r="M87" s="347"/>
      <c r="N87" s="335"/>
    </row>
    <row r="88" spans="1:14">
      <c r="K88" s="347"/>
      <c r="L88" s="347"/>
      <c r="M88" s="347"/>
      <c r="N88" s="335"/>
    </row>
    <row r="89" spans="1:14">
      <c r="K89" s="347"/>
      <c r="L89" s="347"/>
      <c r="M89" s="347"/>
      <c r="N89" s="335"/>
    </row>
    <row r="90" spans="1:14">
      <c r="K90" s="347"/>
      <c r="L90" s="347"/>
      <c r="M90" s="347"/>
      <c r="N90" s="335"/>
    </row>
    <row r="91" spans="1:14">
      <c r="K91" s="347"/>
      <c r="L91" s="347"/>
      <c r="M91" s="347"/>
      <c r="N91" s="335"/>
    </row>
    <row r="92" spans="1:14">
      <c r="A92" s="335"/>
      <c r="B92" s="335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</row>
    <row r="93" spans="1:14">
      <c r="A93" s="335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</row>
    <row r="94" spans="1:14">
      <c r="A94" s="335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</row>
  </sheetData>
  <protectedRanges>
    <protectedRange sqref="E7:F9 E12:F12" name="Rango3_3_1_1_1_1_1_1_1_1"/>
    <protectedRange sqref="E5:F6" name="Rango3_3_1_1_1_1_1_2_1"/>
  </protectedRanges>
  <mergeCells count="25">
    <mergeCell ref="A2:N2"/>
    <mergeCell ref="A3:N3"/>
    <mergeCell ref="A10:N10"/>
    <mergeCell ref="A11:N11"/>
    <mergeCell ref="A43:N43"/>
    <mergeCell ref="L21:M21"/>
    <mergeCell ref="L22:M22"/>
    <mergeCell ref="D18:E18"/>
    <mergeCell ref="L18:M18"/>
    <mergeCell ref="L20:M20"/>
    <mergeCell ref="D19:I19"/>
    <mergeCell ref="K38:L38"/>
    <mergeCell ref="K37:L37"/>
    <mergeCell ref="C6:K6"/>
    <mergeCell ref="C8:L8"/>
    <mergeCell ref="K50:N50"/>
    <mergeCell ref="K48:N48"/>
    <mergeCell ref="A45:N45"/>
    <mergeCell ref="K79:K80"/>
    <mergeCell ref="L79:L80"/>
    <mergeCell ref="M79:M80"/>
    <mergeCell ref="A59:N59"/>
    <mergeCell ref="A61:N61"/>
    <mergeCell ref="K51:N51"/>
    <mergeCell ref="K52:N52"/>
  </mergeCells>
  <conditionalFormatting sqref="A30:A38">
    <cfRule type="cellIs" priority="1" stopIfTrue="1" operator="between">
      <formula>5</formula>
      <formula>10</formula>
    </cfRule>
  </conditionalFormatting>
  <conditionalFormatting sqref="B32:C32">
    <cfRule type="cellIs" priority="4" stopIfTrue="1" operator="between">
      <formula>5</formula>
      <formula>10</formula>
    </cfRule>
  </conditionalFormatting>
  <dataValidations disablePrompts="1" count="1">
    <dataValidation type="list" allowBlank="1" showInputMessage="1" showErrorMessage="1" sqref="L35:L36" xr:uid="{00000000-0002-0000-0100-000000000000}">
      <formula1>"-, Si, No"</formula1>
    </dataValidation>
  </dataValidations>
  <printOptions horizontalCentered="1"/>
  <pageMargins left="0" right="0" top="1.1811023622047245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zoomScale="95" zoomScaleNormal="95" zoomScaleSheetLayoutView="100" workbookViewId="0">
      <selection activeCell="D15" sqref="D15"/>
    </sheetView>
  </sheetViews>
  <sheetFormatPr baseColWidth="10" defaultColWidth="10.33203125" defaultRowHeight="13.2"/>
  <cols>
    <col min="1" max="1" width="4.6640625" style="335" customWidth="1"/>
    <col min="2" max="2" width="11.33203125" style="335" customWidth="1"/>
    <col min="3" max="3" width="12.33203125" style="335" customWidth="1"/>
    <col min="4" max="5" width="11.33203125" style="335" customWidth="1"/>
    <col min="6" max="6" width="13.33203125" style="335" bestFit="1" customWidth="1"/>
    <col min="7" max="7" width="12.109375" style="335" bestFit="1" customWidth="1"/>
    <col min="8" max="8" width="14.88671875" style="335" customWidth="1"/>
    <col min="9" max="9" width="10.6640625" style="335" customWidth="1"/>
    <col min="10" max="10" width="11.44140625" style="335" customWidth="1"/>
    <col min="11" max="11" width="13.33203125" style="335" customWidth="1"/>
    <col min="12" max="12" width="5.6640625" style="335" customWidth="1"/>
    <col min="13" max="16384" width="10.33203125" style="335"/>
  </cols>
  <sheetData>
    <row r="1" spans="1:14" ht="5.4" customHeight="1">
      <c r="A1" s="403"/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5"/>
      <c r="M1" s="406"/>
    </row>
    <row r="2" spans="1:14" ht="15" customHeight="1">
      <c r="A2" s="407"/>
      <c r="B2" s="682" t="s">
        <v>102</v>
      </c>
      <c r="C2" s="682"/>
      <c r="D2" s="682"/>
      <c r="E2" s="682"/>
      <c r="F2" s="682"/>
      <c r="G2" s="682"/>
      <c r="H2" s="682"/>
      <c r="I2" s="682"/>
      <c r="J2" s="682"/>
      <c r="K2" s="682"/>
      <c r="L2" s="394"/>
      <c r="M2" s="406"/>
    </row>
    <row r="3" spans="1:14" ht="15" customHeight="1">
      <c r="A3" s="407"/>
      <c r="B3" s="682" t="s">
        <v>103</v>
      </c>
      <c r="C3" s="682"/>
      <c r="D3" s="682"/>
      <c r="E3" s="682"/>
      <c r="F3" s="682"/>
      <c r="G3" s="682"/>
      <c r="H3" s="682"/>
      <c r="I3" s="682"/>
      <c r="J3" s="682"/>
      <c r="K3" s="682"/>
      <c r="L3" s="394"/>
      <c r="M3" s="406"/>
    </row>
    <row r="4" spans="1:14" ht="6.6" customHeight="1">
      <c r="A4" s="407"/>
      <c r="B4" s="395"/>
      <c r="C4" s="395"/>
      <c r="D4" s="395"/>
      <c r="E4" s="395"/>
      <c r="F4" s="395"/>
      <c r="G4" s="395"/>
      <c r="H4" s="395"/>
      <c r="I4" s="395"/>
      <c r="J4" s="395"/>
      <c r="K4" s="396"/>
      <c r="L4" s="394"/>
      <c r="M4" s="406"/>
    </row>
    <row r="5" spans="1:14" ht="15" customHeight="1">
      <c r="A5" s="407"/>
      <c r="B5" s="688" t="s">
        <v>130</v>
      </c>
      <c r="C5" s="689"/>
      <c r="D5" s="689"/>
      <c r="E5" s="690"/>
      <c r="F5" s="349">
        <f>+Resumen!J26</f>
        <v>0</v>
      </c>
      <c r="G5" s="395"/>
      <c r="H5" s="408" t="s">
        <v>131</v>
      </c>
      <c r="I5" s="350"/>
      <c r="J5" s="409"/>
      <c r="K5" s="203"/>
      <c r="L5" s="394"/>
      <c r="M5" s="406"/>
    </row>
    <row r="6" spans="1:14" ht="15" customHeight="1">
      <c r="A6" s="407"/>
      <c r="B6" s="395"/>
      <c r="C6" s="395"/>
      <c r="D6" s="395"/>
      <c r="E6" s="395"/>
      <c r="F6" s="395"/>
      <c r="G6" s="395"/>
      <c r="H6" s="408" t="s">
        <v>132</v>
      </c>
      <c r="I6" s="350"/>
      <c r="J6" s="409"/>
      <c r="K6" s="203"/>
      <c r="L6" s="394"/>
      <c r="M6" s="406"/>
      <c r="N6" s="200"/>
    </row>
    <row r="7" spans="1:14" ht="15" customHeight="1">
      <c r="A7" s="407"/>
      <c r="B7" s="688" t="s">
        <v>133</v>
      </c>
      <c r="C7" s="689"/>
      <c r="D7" s="689"/>
      <c r="E7" s="690"/>
      <c r="F7" s="349">
        <f>+IF(F5="A",0.1,0.01)</f>
        <v>0.01</v>
      </c>
      <c r="K7" s="396"/>
      <c r="L7" s="394"/>
      <c r="M7" s="406"/>
      <c r="N7" s="200"/>
    </row>
    <row r="8" spans="1:14" ht="15" customHeight="1">
      <c r="A8" s="407"/>
      <c r="B8" s="395"/>
      <c r="C8" s="395"/>
      <c r="D8" s="395"/>
      <c r="E8" s="395"/>
      <c r="F8" s="348">
        <f>IF(F7=0.1,J9,J10)</f>
        <v>3.7900000000000001E-6</v>
      </c>
      <c r="H8" s="410" t="s">
        <v>135</v>
      </c>
      <c r="I8" s="411" t="s">
        <v>280</v>
      </c>
      <c r="J8" s="410" t="s">
        <v>134</v>
      </c>
      <c r="K8" s="411" t="s">
        <v>282</v>
      </c>
      <c r="L8" s="394"/>
      <c r="M8" s="406"/>
    </row>
    <row r="9" spans="1:14" ht="15" customHeight="1">
      <c r="A9" s="407"/>
      <c r="B9" s="392" t="s">
        <v>285</v>
      </c>
      <c r="C9" s="412"/>
      <c r="D9" s="431">
        <f>+Resumen!E27</f>
        <v>0</v>
      </c>
      <c r="E9" s="467"/>
      <c r="G9" s="200"/>
      <c r="H9" s="348" t="str">
        <f>+Balanza!C7</f>
        <v>EQP-0046</v>
      </c>
      <c r="I9" s="413" t="s">
        <v>281</v>
      </c>
      <c r="J9" s="433">
        <f>+Balanza!C3</f>
        <v>-3.2899999999999998E-6</v>
      </c>
      <c r="K9" s="393">
        <f>+Balanza!D8</f>
        <v>46132</v>
      </c>
      <c r="L9" s="397"/>
      <c r="M9" s="406"/>
    </row>
    <row r="10" spans="1:14" ht="15" customHeight="1">
      <c r="A10" s="407"/>
      <c r="G10" s="200"/>
      <c r="H10" s="348" t="str">
        <f>+Balanza!K7</f>
        <v>EQP-0045</v>
      </c>
      <c r="I10" s="413" t="s">
        <v>283</v>
      </c>
      <c r="J10" s="433">
        <f>+Balanza!K3</f>
        <v>3.7900000000000001E-6</v>
      </c>
      <c r="K10" s="393">
        <f>+Balanza!L8</f>
        <v>46132</v>
      </c>
      <c r="L10" s="398"/>
    </row>
    <row r="11" spans="1:14" ht="15" customHeight="1">
      <c r="A11" s="407"/>
      <c r="B11" s="392" t="s">
        <v>277</v>
      </c>
      <c r="C11" s="412"/>
      <c r="D11" s="439" t="e">
        <f>+INDEX(J19:K28,MATCH(D9,J19:J28,0),2)</f>
        <v>#N/A</v>
      </c>
      <c r="E11" s="440" t="e">
        <f>+IF((G19-G22)&gt;D11,"Cumple","No Cumple")</f>
        <v>#N/A</v>
      </c>
      <c r="G11" s="200"/>
      <c r="K11" s="399"/>
      <c r="L11" s="400"/>
    </row>
    <row r="12" spans="1:14" ht="8.4" customHeight="1">
      <c r="A12" s="407"/>
      <c r="G12" s="200"/>
      <c r="L12" s="414"/>
    </row>
    <row r="13" spans="1:14" ht="15" customHeight="1">
      <c r="A13" s="407"/>
      <c r="B13" s="392" t="s">
        <v>284</v>
      </c>
      <c r="C13" s="412"/>
      <c r="D13" s="313">
        <f>+Resumen!E28</f>
        <v>0</v>
      </c>
      <c r="G13" s="200"/>
      <c r="L13" s="414"/>
    </row>
    <row r="14" spans="1:14" ht="7.95" customHeight="1">
      <c r="A14" s="407"/>
      <c r="G14" s="200"/>
      <c r="L14" s="414"/>
    </row>
    <row r="15" spans="1:14" ht="15" customHeight="1">
      <c r="A15" s="407"/>
      <c r="B15" s="392" t="s">
        <v>107</v>
      </c>
      <c r="C15" s="415"/>
      <c r="D15" s="432" t="s">
        <v>272</v>
      </c>
      <c r="E15" s="467">
        <f>+Resumen!I11</f>
        <v>0</v>
      </c>
      <c r="G15" s="200"/>
      <c r="L15" s="414"/>
    </row>
    <row r="16" spans="1:14" ht="7.95" customHeight="1">
      <c r="A16" s="407"/>
      <c r="L16" s="414"/>
    </row>
    <row r="17" spans="1:12" ht="15" customHeight="1">
      <c r="A17" s="416">
        <v>1</v>
      </c>
      <c r="B17" s="691" t="s">
        <v>35</v>
      </c>
      <c r="C17" s="692"/>
      <c r="D17" s="692"/>
      <c r="E17" s="693"/>
      <c r="F17" s="417" t="s">
        <v>36</v>
      </c>
      <c r="G17" s="451">
        <v>1</v>
      </c>
      <c r="H17" s="684" t="s">
        <v>37</v>
      </c>
      <c r="J17" s="4" t="s">
        <v>278</v>
      </c>
      <c r="K17" s="4" t="s">
        <v>275</v>
      </c>
      <c r="L17" s="414"/>
    </row>
    <row r="18" spans="1:12" ht="17.25" customHeight="1">
      <c r="A18" s="416">
        <v>2</v>
      </c>
      <c r="B18" s="691" t="s">
        <v>111</v>
      </c>
      <c r="C18" s="692"/>
      <c r="D18" s="692"/>
      <c r="E18" s="693"/>
      <c r="F18" s="417" t="s">
        <v>36</v>
      </c>
      <c r="G18" s="449">
        <f>+Resumen!I32</f>
        <v>0</v>
      </c>
      <c r="H18" s="684"/>
      <c r="J18" s="4" t="s">
        <v>276</v>
      </c>
      <c r="K18" s="4" t="s">
        <v>279</v>
      </c>
      <c r="L18" s="414"/>
    </row>
    <row r="19" spans="1:12" ht="17.25" customHeight="1">
      <c r="A19" s="416">
        <v>3</v>
      </c>
      <c r="B19" s="691" t="s">
        <v>112</v>
      </c>
      <c r="C19" s="692"/>
      <c r="D19" s="692"/>
      <c r="E19" s="693"/>
      <c r="F19" s="417" t="s">
        <v>41</v>
      </c>
      <c r="G19" s="449">
        <f>+Resumen!I33</f>
        <v>0</v>
      </c>
      <c r="H19" s="438" t="str">
        <f>IF($F$7=0.1,FIXED(G19+$F$8*G19,1),FIXED(G19+$F$8*G19,2))</f>
        <v>0.00</v>
      </c>
      <c r="J19" s="470" t="s">
        <v>329</v>
      </c>
      <c r="K19" s="434">
        <v>5000</v>
      </c>
      <c r="L19" s="414"/>
    </row>
    <row r="20" spans="1:12" ht="17.25" customHeight="1">
      <c r="A20" s="416">
        <v>4</v>
      </c>
      <c r="B20" s="691" t="s">
        <v>113</v>
      </c>
      <c r="C20" s="692"/>
      <c r="D20" s="692"/>
      <c r="E20" s="693"/>
      <c r="F20" s="417" t="s">
        <v>41</v>
      </c>
      <c r="G20" s="449">
        <f>+Resumen!I34</f>
        <v>0</v>
      </c>
      <c r="H20" s="438" t="str">
        <f>IF($F$7=0.1,FIXED(G20+$F$8*G20,1),FIXED(G20+$F$8*G20,2))</f>
        <v>0.00</v>
      </c>
      <c r="J20" s="469" t="s">
        <v>328</v>
      </c>
      <c r="K20" s="434">
        <v>5000</v>
      </c>
      <c r="L20" s="414"/>
    </row>
    <row r="21" spans="1:12" ht="17.25" customHeight="1">
      <c r="A21" s="416">
        <v>5</v>
      </c>
      <c r="B21" s="418" t="s">
        <v>261</v>
      </c>
      <c r="C21" s="418"/>
      <c r="D21" s="418"/>
      <c r="E21" s="418"/>
      <c r="F21" s="417" t="s">
        <v>41</v>
      </c>
      <c r="G21" s="449">
        <f>+Resumen!I35</f>
        <v>0</v>
      </c>
      <c r="H21" s="438" t="str">
        <f>IF($F$7=0.1,FIXED(G21+$F$8*G21,1),FIXED(G21+$F$8*G21,2))</f>
        <v>0.00</v>
      </c>
      <c r="J21" s="436" t="s">
        <v>303</v>
      </c>
      <c r="K21" s="434">
        <v>5000</v>
      </c>
      <c r="L21" s="414"/>
    </row>
    <row r="22" spans="1:12" ht="17.25" customHeight="1">
      <c r="A22" s="416">
        <v>6</v>
      </c>
      <c r="B22" s="691" t="s">
        <v>114</v>
      </c>
      <c r="C22" s="692"/>
      <c r="D22" s="692"/>
      <c r="E22" s="693"/>
      <c r="F22" s="419" t="s">
        <v>41</v>
      </c>
      <c r="G22" s="449">
        <f>+Resumen!I36</f>
        <v>0</v>
      </c>
      <c r="H22" s="438" t="str">
        <f>IF($F$7=0.1,FIXED(G22+$F$8*G22,1),FIXED(G22+$F$8*G22,2))</f>
        <v>0.00</v>
      </c>
      <c r="J22" s="469" t="s">
        <v>299</v>
      </c>
      <c r="K22" s="434">
        <v>1000</v>
      </c>
      <c r="L22" s="414"/>
    </row>
    <row r="23" spans="1:12" ht="17.25" customHeight="1">
      <c r="A23" s="416">
        <v>7</v>
      </c>
      <c r="B23" s="691" t="s">
        <v>115</v>
      </c>
      <c r="C23" s="692"/>
      <c r="D23" s="692"/>
      <c r="E23" s="693"/>
      <c r="F23" s="417" t="s">
        <v>41</v>
      </c>
      <c r="G23" s="450">
        <f>+G19-G21</f>
        <v>0</v>
      </c>
      <c r="H23" s="438" t="str">
        <f>IF($F$7=0.1,FIXED(H19-H21,1),FIXED(H19-H21,2))</f>
        <v>0.00</v>
      </c>
      <c r="J23" s="436" t="s">
        <v>330</v>
      </c>
      <c r="K23" s="434">
        <v>1000</v>
      </c>
      <c r="L23" s="414"/>
    </row>
    <row r="24" spans="1:12" ht="17.25" customHeight="1">
      <c r="A24" s="416">
        <v>8</v>
      </c>
      <c r="B24" s="691" t="s">
        <v>116</v>
      </c>
      <c r="C24" s="692"/>
      <c r="D24" s="692"/>
      <c r="E24" s="693"/>
      <c r="F24" s="419" t="s">
        <v>41</v>
      </c>
      <c r="G24" s="450">
        <f>+G21-G22</f>
        <v>0</v>
      </c>
      <c r="H24" s="438" t="str">
        <f>IF($F$7=0.1,FIXED(H21-H22,1),FIXED(H21-H22,2))</f>
        <v>0.00</v>
      </c>
      <c r="J24" s="469" t="s">
        <v>331</v>
      </c>
      <c r="K24" s="434">
        <v>250</v>
      </c>
      <c r="L24" s="414"/>
    </row>
    <row r="25" spans="1:12" ht="17.25" customHeight="1">
      <c r="A25" s="416">
        <v>9</v>
      </c>
      <c r="B25" s="694" t="s">
        <v>117</v>
      </c>
      <c r="C25" s="695"/>
      <c r="D25" s="695"/>
      <c r="E25" s="696"/>
      <c r="F25" s="419" t="s">
        <v>56</v>
      </c>
      <c r="G25" s="446" t="e">
        <f>IF(F5="A",FIXED((G23/G24*100),0),FIXED((G23/G24*100),1))</f>
        <v>#DIV/0!</v>
      </c>
      <c r="H25" s="446" t="e">
        <f>IF(F5="A",FIXED((H23/H24*100),0),FIXED((H23/H24*100),1))</f>
        <v>#DIV/0!</v>
      </c>
      <c r="J25" s="436" t="s">
        <v>286</v>
      </c>
      <c r="K25" s="434">
        <v>250</v>
      </c>
      <c r="L25" s="414"/>
    </row>
    <row r="26" spans="1:12" ht="14.25" customHeight="1">
      <c r="A26" s="407"/>
      <c r="B26" s="420"/>
      <c r="C26" s="420"/>
      <c r="D26" s="420"/>
      <c r="E26" s="420"/>
      <c r="F26" s="421"/>
      <c r="G26" s="422"/>
      <c r="H26" s="423" t="e">
        <f>ABS(H25)</f>
        <v>#DIV/0!</v>
      </c>
      <c r="I26" s="424"/>
      <c r="J26" s="436" t="s">
        <v>287</v>
      </c>
      <c r="K26" s="434">
        <v>500</v>
      </c>
      <c r="L26" s="414"/>
    </row>
    <row r="27" spans="1:12" ht="17.25" customHeight="1">
      <c r="A27" s="407"/>
      <c r="B27" s="202" t="s">
        <v>138</v>
      </c>
      <c r="C27" s="391"/>
      <c r="D27" s="391"/>
      <c r="E27" s="391"/>
      <c r="F27" s="409"/>
      <c r="G27" s="415"/>
      <c r="H27" s="390" t="e">
        <f>(H20-H21)/H21*100</f>
        <v>#DIV/0!</v>
      </c>
      <c r="J27" s="435" t="s">
        <v>69</v>
      </c>
      <c r="K27" s="434">
        <v>100</v>
      </c>
      <c r="L27" s="414"/>
    </row>
    <row r="28" spans="1:12" ht="17.25" customHeight="1">
      <c r="A28" s="407"/>
      <c r="B28" s="202" t="s">
        <v>139</v>
      </c>
      <c r="C28" s="391"/>
      <c r="D28" s="391"/>
      <c r="E28" s="391"/>
      <c r="F28" s="409"/>
      <c r="G28" s="415"/>
      <c r="H28" s="430" t="e">
        <f>IF(AND(F5="A",H27&lt;1),"cumple","")</f>
        <v>#DIV/0!</v>
      </c>
      <c r="J28" s="435" t="s">
        <v>64</v>
      </c>
      <c r="K28" s="434">
        <v>20</v>
      </c>
      <c r="L28" s="414"/>
    </row>
    <row r="29" spans="1:12" ht="15.9" customHeight="1">
      <c r="A29" s="407"/>
      <c r="B29" s="202" t="s">
        <v>140</v>
      </c>
      <c r="C29" s="391"/>
      <c r="D29" s="391"/>
      <c r="E29" s="391"/>
      <c r="F29" s="409"/>
      <c r="G29" s="415"/>
      <c r="H29" s="430" t="e">
        <f>IF(AND(F5="B",H27&lt;0.1),"cumple","")</f>
        <v>#DIV/0!</v>
      </c>
      <c r="J29" s="437" t="s">
        <v>269</v>
      </c>
      <c r="K29" s="438" t="s">
        <v>269</v>
      </c>
      <c r="L29" s="414"/>
    </row>
    <row r="30" spans="1:12" ht="5.25" customHeight="1">
      <c r="A30" s="407"/>
      <c r="I30" s="425"/>
      <c r="J30" s="426"/>
      <c r="K30" s="426"/>
      <c r="L30" s="414"/>
    </row>
    <row r="31" spans="1:12" ht="15.9" customHeight="1">
      <c r="A31" s="407"/>
      <c r="B31" s="683" t="s">
        <v>141</v>
      </c>
      <c r="C31" s="683"/>
      <c r="D31" s="683"/>
      <c r="E31" s="683"/>
      <c r="F31" s="683"/>
      <c r="G31" s="683"/>
      <c r="L31" s="414"/>
    </row>
    <row r="32" spans="1:12" ht="26.25" customHeight="1">
      <c r="A32" s="407"/>
      <c r="B32" s="688" t="s">
        <v>142</v>
      </c>
      <c r="C32" s="689"/>
      <c r="D32" s="689"/>
      <c r="E32" s="690"/>
      <c r="F32" s="389" t="s">
        <v>143</v>
      </c>
      <c r="G32" s="388" t="s">
        <v>144</v>
      </c>
      <c r="L32" s="414"/>
    </row>
    <row r="33" spans="1:12" ht="16.5" customHeight="1">
      <c r="A33" s="407"/>
      <c r="B33" s="685" t="s">
        <v>145</v>
      </c>
      <c r="C33" s="686"/>
      <c r="D33" s="686"/>
      <c r="E33" s="687"/>
      <c r="F33" s="348" t="s">
        <v>146</v>
      </c>
      <c r="G33" s="348">
        <v>0.1</v>
      </c>
      <c r="L33" s="414"/>
    </row>
    <row r="34" spans="1:12" ht="16.5" customHeight="1">
      <c r="A34" s="407"/>
      <c r="B34" s="685" t="s">
        <v>147</v>
      </c>
      <c r="C34" s="686"/>
      <c r="D34" s="686"/>
      <c r="E34" s="687"/>
      <c r="F34" s="348" t="s">
        <v>148</v>
      </c>
      <c r="G34" s="348">
        <v>0.1</v>
      </c>
      <c r="L34" s="414"/>
    </row>
    <row r="35" spans="1:12" ht="16.5" customHeight="1">
      <c r="A35" s="407"/>
      <c r="B35" s="685" t="s">
        <v>149</v>
      </c>
      <c r="C35" s="686"/>
      <c r="D35" s="686"/>
      <c r="E35" s="687"/>
      <c r="F35" s="348" t="s">
        <v>150</v>
      </c>
      <c r="G35" s="348">
        <v>0.1</v>
      </c>
      <c r="L35" s="414"/>
    </row>
    <row r="36" spans="1:12" ht="16.5" customHeight="1">
      <c r="A36" s="407"/>
      <c r="B36" s="683" t="s">
        <v>151</v>
      </c>
      <c r="C36" s="683"/>
      <c r="D36" s="683"/>
      <c r="E36" s="683"/>
      <c r="F36" s="683"/>
      <c r="G36" s="683"/>
      <c r="L36" s="414"/>
    </row>
    <row r="37" spans="1:12" ht="16.5" customHeight="1">
      <c r="A37" s="407"/>
      <c r="B37" s="685" t="s">
        <v>257</v>
      </c>
      <c r="C37" s="686"/>
      <c r="D37" s="686"/>
      <c r="E37" s="687"/>
      <c r="F37" s="348" t="s">
        <v>152</v>
      </c>
      <c r="G37" s="348">
        <v>0.01</v>
      </c>
      <c r="L37" s="414"/>
    </row>
    <row r="38" spans="1:12" ht="16.5" customHeight="1">
      <c r="A38" s="407"/>
      <c r="B38" s="685" t="s">
        <v>153</v>
      </c>
      <c r="C38" s="686"/>
      <c r="D38" s="686"/>
      <c r="E38" s="687"/>
      <c r="F38" s="348" t="s">
        <v>154</v>
      </c>
      <c r="G38" s="348">
        <v>0.01</v>
      </c>
      <c r="L38" s="414"/>
    </row>
    <row r="39" spans="1:12" ht="16.5" customHeight="1">
      <c r="A39" s="407"/>
      <c r="B39" s="685" t="s">
        <v>155</v>
      </c>
      <c r="C39" s="686"/>
      <c r="D39" s="686"/>
      <c r="E39" s="687"/>
      <c r="F39" s="348" t="s">
        <v>156</v>
      </c>
      <c r="G39" s="348">
        <v>0.01</v>
      </c>
      <c r="L39" s="414"/>
    </row>
    <row r="40" spans="1:12" ht="13.5" customHeight="1">
      <c r="A40" s="407"/>
      <c r="I40" s="200"/>
      <c r="J40" s="401"/>
      <c r="K40" s="347"/>
      <c r="L40" s="414"/>
    </row>
    <row r="41" spans="1:12" ht="13.5" customHeight="1">
      <c r="A41" s="407"/>
      <c r="I41" s="200"/>
      <c r="J41" s="401"/>
      <c r="K41" s="347"/>
      <c r="L41" s="414"/>
    </row>
    <row r="42" spans="1:12" ht="13.5" customHeight="1">
      <c r="A42" s="407"/>
      <c r="I42" s="200"/>
      <c r="J42" s="401"/>
      <c r="K42" s="347"/>
      <c r="L42" s="414"/>
    </row>
    <row r="43" spans="1:12" ht="13.5" customHeight="1">
      <c r="A43" s="407"/>
      <c r="I43" s="200"/>
      <c r="J43" s="401"/>
      <c r="K43" s="347"/>
      <c r="L43" s="414"/>
    </row>
    <row r="44" spans="1:12" ht="13.5" customHeight="1">
      <c r="A44" s="407"/>
      <c r="I44" s="200"/>
      <c r="J44" s="401"/>
      <c r="K44" s="347"/>
      <c r="L44" s="414"/>
    </row>
    <row r="45" spans="1:12" ht="13.5" customHeight="1">
      <c r="A45" s="407"/>
      <c r="I45" s="200"/>
      <c r="J45" s="401"/>
      <c r="K45" s="347"/>
      <c r="L45" s="414"/>
    </row>
    <row r="46" spans="1:12" ht="13.5" customHeight="1">
      <c r="A46" s="407"/>
      <c r="I46" s="200"/>
      <c r="J46" s="401"/>
      <c r="K46" s="347"/>
      <c r="L46" s="414"/>
    </row>
    <row r="47" spans="1:12" ht="13.5" customHeight="1">
      <c r="A47" s="407"/>
      <c r="I47" s="200"/>
      <c r="J47" s="401"/>
      <c r="K47" s="347"/>
      <c r="L47" s="414"/>
    </row>
    <row r="48" spans="1:12" ht="13.5" customHeight="1">
      <c r="A48" s="407"/>
      <c r="I48" s="200"/>
      <c r="J48" s="401"/>
      <c r="K48" s="347"/>
      <c r="L48" s="414"/>
    </row>
    <row r="49" spans="1:12" ht="13.5" customHeight="1">
      <c r="A49" s="407"/>
      <c r="I49" s="200"/>
      <c r="J49" s="401"/>
      <c r="K49" s="347"/>
      <c r="L49" s="414"/>
    </row>
    <row r="50" spans="1:12" ht="13.5" customHeight="1">
      <c r="A50" s="407"/>
      <c r="I50" s="200"/>
      <c r="J50" s="401"/>
      <c r="K50" s="347"/>
      <c r="L50" s="414"/>
    </row>
    <row r="51" spans="1:12" ht="13.5" customHeight="1">
      <c r="A51" s="407"/>
      <c r="I51" s="200"/>
      <c r="J51" s="402"/>
      <c r="K51" s="347"/>
      <c r="L51" s="414"/>
    </row>
    <row r="52" spans="1:12">
      <c r="A52" s="407"/>
      <c r="I52" s="200"/>
      <c r="J52" s="401"/>
      <c r="K52" s="347"/>
      <c r="L52" s="414"/>
    </row>
    <row r="53" spans="1:12" ht="13.8" thickBot="1">
      <c r="A53" s="427"/>
      <c r="B53" s="428"/>
      <c r="C53" s="428"/>
      <c r="D53" s="428"/>
      <c r="E53" s="428"/>
      <c r="F53" s="428"/>
      <c r="G53" s="428"/>
      <c r="H53" s="428"/>
      <c r="I53" s="351"/>
      <c r="J53" s="352"/>
      <c r="K53" s="354"/>
      <c r="L53" s="429"/>
    </row>
  </sheetData>
  <mergeCells count="22">
    <mergeCell ref="B39:E39"/>
    <mergeCell ref="B5:E5"/>
    <mergeCell ref="B7:E7"/>
    <mergeCell ref="B17:E17"/>
    <mergeCell ref="B18:E18"/>
    <mergeCell ref="B19:E19"/>
    <mergeCell ref="B20:E20"/>
    <mergeCell ref="B22:E22"/>
    <mergeCell ref="B23:E23"/>
    <mergeCell ref="B24:E24"/>
    <mergeCell ref="B25:E25"/>
    <mergeCell ref="B37:E37"/>
    <mergeCell ref="B38:E38"/>
    <mergeCell ref="B2:K2"/>
    <mergeCell ref="B3:K3"/>
    <mergeCell ref="B31:G31"/>
    <mergeCell ref="B36:G36"/>
    <mergeCell ref="H17:H18"/>
    <mergeCell ref="B33:E33"/>
    <mergeCell ref="B34:E34"/>
    <mergeCell ref="B35:E35"/>
    <mergeCell ref="B32:E32"/>
  </mergeCells>
  <conditionalFormatting sqref="E11">
    <cfRule type="containsText" dxfId="0" priority="1" operator="containsText" text="no">
      <formula>NOT(ISERROR(SEARCH("no",E11)))</formula>
    </cfRule>
  </conditionalFormatting>
  <dataValidations count="1">
    <dataValidation type="list" allowBlank="1" showInputMessage="1" showErrorMessage="1" sqref="D15" xr:uid="{00000000-0002-0000-0200-000002000000}">
      <formula1>"-,D.I.C,I.CH.A,B.P.G, L.S.G, J.S.A, G.P.V, G.Q.S"</formula1>
    </dataValidation>
  </dataValidations>
  <printOptions horizontalCentered="1"/>
  <pageMargins left="0" right="0" top="1.1811023622047245" bottom="0" header="0.11811023622047245" footer="0"/>
  <pageSetup paperSize="274" scale="77" orientation="portrait" r:id="rId1"/>
  <headerFooter scaleWithDoc="0"/>
  <colBreaks count="1" manualBreakCount="1">
    <brk id="12" max="1048575" man="1"/>
  </colBreaks>
  <ignoredErrors>
    <ignoredError sqref="H25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4"/>
  <sheetViews>
    <sheetView topLeftCell="A62" zoomScale="91" zoomScaleNormal="91" workbookViewId="0">
      <selection activeCell="G77" sqref="G77"/>
    </sheetView>
  </sheetViews>
  <sheetFormatPr baseColWidth="10" defaultColWidth="11.44140625" defaultRowHeight="13.2"/>
  <cols>
    <col min="1" max="1" width="21.88671875" style="357" customWidth="1"/>
    <col min="2" max="2" width="11.5546875" style="357" bestFit="1" customWidth="1"/>
    <col min="3" max="3" width="12.5546875" style="357" customWidth="1"/>
    <col min="4" max="4" width="11.5546875" style="357" bestFit="1" customWidth="1"/>
    <col min="5" max="5" width="20" style="357" customWidth="1"/>
    <col min="6" max="6" width="14" style="357" customWidth="1"/>
    <col min="7" max="7" width="13.6640625" style="357" customWidth="1"/>
    <col min="8" max="8" width="15.33203125" style="357" customWidth="1"/>
    <col min="9" max="9" width="9.88671875" style="357" customWidth="1"/>
    <col min="10" max="10" width="14.44140625" style="357" customWidth="1"/>
    <col min="11" max="16384" width="11.44140625" style="357"/>
  </cols>
  <sheetData>
    <row r="1" spans="1:10" ht="12.75" customHeight="1">
      <c r="A1" s="713"/>
      <c r="B1" s="714"/>
      <c r="C1" s="704" t="s">
        <v>157</v>
      </c>
      <c r="D1" s="705"/>
      <c r="E1" s="705"/>
      <c r="F1" s="705"/>
      <c r="G1" s="705"/>
      <c r="H1" s="706"/>
      <c r="I1" s="227" t="s">
        <v>158</v>
      </c>
      <c r="J1" s="227" t="s">
        <v>159</v>
      </c>
    </row>
    <row r="2" spans="1:10" ht="12.75" customHeight="1">
      <c r="A2" s="715"/>
      <c r="B2" s="716"/>
      <c r="C2" s="707"/>
      <c r="D2" s="708"/>
      <c r="E2" s="708"/>
      <c r="F2" s="708"/>
      <c r="G2" s="708"/>
      <c r="H2" s="709"/>
      <c r="I2" s="227" t="s">
        <v>160</v>
      </c>
      <c r="J2" s="228">
        <v>2</v>
      </c>
    </row>
    <row r="3" spans="1:10" ht="12.75" customHeight="1">
      <c r="A3" s="715"/>
      <c r="B3" s="716"/>
      <c r="C3" s="707"/>
      <c r="D3" s="708"/>
      <c r="E3" s="708"/>
      <c r="F3" s="708"/>
      <c r="G3" s="708"/>
      <c r="H3" s="709"/>
      <c r="I3" s="227" t="s">
        <v>161</v>
      </c>
      <c r="J3" s="229">
        <v>44676</v>
      </c>
    </row>
    <row r="4" spans="1:10" ht="12.75" customHeight="1">
      <c r="A4" s="717"/>
      <c r="B4" s="718"/>
      <c r="C4" s="710"/>
      <c r="D4" s="711"/>
      <c r="E4" s="711"/>
      <c r="F4" s="711"/>
      <c r="G4" s="711"/>
      <c r="H4" s="712"/>
      <c r="I4" s="227" t="s">
        <v>162</v>
      </c>
      <c r="J4" s="227" t="s">
        <v>163</v>
      </c>
    </row>
    <row r="6" spans="1:10" ht="18" customHeight="1">
      <c r="A6" s="230" t="s">
        <v>164</v>
      </c>
      <c r="B6" s="176" t="s">
        <v>165</v>
      </c>
      <c r="C6" s="175"/>
      <c r="D6" s="175"/>
      <c r="E6" s="175"/>
      <c r="F6" s="358"/>
      <c r="G6" s="358"/>
      <c r="H6" s="358"/>
      <c r="I6" s="358"/>
      <c r="J6" s="359"/>
    </row>
    <row r="7" spans="1:10" ht="18" customHeight="1">
      <c r="A7" s="230" t="s">
        <v>166</v>
      </c>
      <c r="B7" s="176" t="s">
        <v>103</v>
      </c>
      <c r="C7" s="175"/>
      <c r="D7" s="175"/>
      <c r="E7" s="175"/>
      <c r="F7" s="358"/>
      <c r="G7" s="358"/>
      <c r="H7" s="358"/>
      <c r="I7" s="358"/>
      <c r="J7" s="359"/>
    </row>
    <row r="8" spans="1:10" ht="18" customHeight="1">
      <c r="A8" s="230" t="s">
        <v>167</v>
      </c>
      <c r="B8" s="176" t="s">
        <v>262</v>
      </c>
      <c r="C8" s="175" t="s">
        <v>263</v>
      </c>
      <c r="D8" s="175"/>
      <c r="E8" s="175"/>
      <c r="F8" s="358"/>
      <c r="G8" s="358"/>
      <c r="H8" s="358"/>
      <c r="I8" s="358"/>
      <c r="J8" s="359"/>
    </row>
    <row r="9" spans="1:10" ht="18" customHeight="1">
      <c r="A9" s="230" t="s">
        <v>168</v>
      </c>
      <c r="B9" s="198" t="s">
        <v>264</v>
      </c>
      <c r="C9" s="175"/>
      <c r="D9" s="175"/>
      <c r="E9" s="175"/>
      <c r="F9" s="358"/>
      <c r="G9" s="358"/>
      <c r="H9" s="358"/>
      <c r="I9" s="358"/>
      <c r="J9" s="359"/>
    </row>
    <row r="10" spans="1:10" ht="18" customHeight="1">
      <c r="A10" s="230" t="s">
        <v>169</v>
      </c>
      <c r="B10" s="176" t="s">
        <v>106</v>
      </c>
      <c r="C10" s="175"/>
      <c r="D10" s="175"/>
      <c r="E10" s="175"/>
      <c r="F10" s="358"/>
      <c r="G10" s="358"/>
      <c r="H10" s="358"/>
      <c r="I10" s="358"/>
      <c r="J10" s="359"/>
    </row>
    <row r="11" spans="1:10" ht="18" customHeight="1">
      <c r="A11" s="231" t="s">
        <v>170</v>
      </c>
      <c r="B11" s="176" t="s">
        <v>171</v>
      </c>
      <c r="C11" s="175"/>
      <c r="D11" s="175"/>
      <c r="E11" s="175"/>
      <c r="F11" s="358"/>
      <c r="G11" s="358"/>
      <c r="H11" s="358"/>
      <c r="I11" s="358"/>
      <c r="J11" s="359"/>
    </row>
    <row r="13" spans="1:10" ht="12" customHeight="1">
      <c r="A13" s="371" t="s">
        <v>172</v>
      </c>
    </row>
    <row r="14" spans="1:10" ht="12" customHeight="1"/>
    <row r="15" spans="1:10" ht="12" customHeight="1">
      <c r="A15" s="373" t="s">
        <v>173</v>
      </c>
      <c r="E15" s="373" t="s">
        <v>177</v>
      </c>
    </row>
    <row r="16" spans="1:10" ht="12" customHeight="1"/>
    <row r="17" spans="1:11" ht="12" customHeight="1">
      <c r="A17" s="372" t="s">
        <v>174</v>
      </c>
      <c r="G17" s="370"/>
    </row>
    <row r="18" spans="1:11" ht="12" customHeight="1">
      <c r="A18" s="372" t="s">
        <v>175</v>
      </c>
    </row>
    <row r="19" spans="1:11" ht="12" customHeight="1">
      <c r="A19" s="372" t="s">
        <v>176</v>
      </c>
      <c r="G19" s="370"/>
    </row>
    <row r="20" spans="1:11" ht="12" customHeight="1"/>
    <row r="21" spans="1:11" ht="12" customHeight="1">
      <c r="A21" s="373" t="s">
        <v>178</v>
      </c>
      <c r="G21" s="370"/>
    </row>
    <row r="22" spans="1:11" ht="12" customHeight="1"/>
    <row r="23" spans="1:11" ht="12" customHeight="1">
      <c r="A23" s="372" t="s">
        <v>179</v>
      </c>
      <c r="G23" s="370"/>
    </row>
    <row r="24" spans="1:11" ht="17.25" customHeight="1"/>
    <row r="25" spans="1:11" ht="12" customHeight="1">
      <c r="A25" s="371" t="s">
        <v>180</v>
      </c>
    </row>
    <row r="26" spans="1:11" ht="12" customHeight="1"/>
    <row r="27" spans="1:11" ht="12" customHeight="1"/>
    <row r="28" spans="1:11" ht="12" customHeight="1"/>
    <row r="29" spans="1:11" ht="12" customHeight="1">
      <c r="K29" s="370"/>
    </row>
    <row r="30" spans="1:11" ht="6" customHeight="1"/>
    <row r="31" spans="1:11" ht="16.5" customHeight="1">
      <c r="F31" s="370"/>
    </row>
    <row r="32" spans="1:11" ht="16.5" customHeight="1"/>
    <row r="33" spans="1:10" ht="16.5" customHeight="1"/>
    <row r="34" spans="1:10" ht="16.5" customHeight="1"/>
    <row r="35" spans="1:10" ht="21.75" customHeight="1">
      <c r="I35" s="370"/>
    </row>
    <row r="36" spans="1:10" ht="17.25" customHeight="1"/>
    <row r="37" spans="1:10" ht="17.25" customHeight="1"/>
    <row r="39" spans="1:10" ht="10.5" customHeight="1">
      <c r="I39" s="355"/>
      <c r="J39" s="355"/>
    </row>
    <row r="40" spans="1:10" ht="15.75" customHeight="1" thickBot="1">
      <c r="A40" s="723" t="s">
        <v>181</v>
      </c>
      <c r="B40" s="724"/>
      <c r="C40" s="724"/>
      <c r="D40" s="724"/>
      <c r="E40" s="724"/>
      <c r="F40" s="724"/>
      <c r="G40" s="724"/>
      <c r="H40" s="725"/>
      <c r="I40" s="355"/>
      <c r="J40" s="355"/>
    </row>
    <row r="41" spans="1:10" ht="45" customHeight="1" thickBot="1">
      <c r="A41" s="251" t="s">
        <v>182</v>
      </c>
      <c r="B41" s="252" t="s">
        <v>183</v>
      </c>
      <c r="C41" s="253" t="s">
        <v>184</v>
      </c>
      <c r="D41" s="253" t="s">
        <v>185</v>
      </c>
      <c r="E41" s="253" t="s">
        <v>186</v>
      </c>
      <c r="F41" s="253" t="s">
        <v>187</v>
      </c>
      <c r="G41" s="253" t="s">
        <v>188</v>
      </c>
      <c r="H41" s="254" t="s">
        <v>189</v>
      </c>
      <c r="I41" s="356">
        <f>+'Datos ensayo'!F7</f>
        <v>0.01</v>
      </c>
      <c r="J41" s="355"/>
    </row>
    <row r="42" spans="1:10" s="361" customFormat="1" ht="21.75" customHeight="1">
      <c r="A42" s="241" t="s">
        <v>190</v>
      </c>
      <c r="B42" s="272" t="e">
        <f>+((B43-B47)/(B47-B51)*100)</f>
        <v>#DIV/0!</v>
      </c>
      <c r="C42" s="273" t="s">
        <v>191</v>
      </c>
      <c r="D42" s="273" t="s">
        <v>191</v>
      </c>
      <c r="E42" s="273" t="s">
        <v>191</v>
      </c>
      <c r="F42" s="273" t="s">
        <v>191</v>
      </c>
      <c r="G42" s="273" t="s">
        <v>191</v>
      </c>
      <c r="H42" s="274" t="s">
        <v>191</v>
      </c>
      <c r="I42" s="355"/>
      <c r="J42" s="360"/>
    </row>
    <row r="43" spans="1:10" s="361" customFormat="1" ht="21.75" customHeight="1">
      <c r="A43" s="275" t="s">
        <v>192</v>
      </c>
      <c r="B43" s="244">
        <f>Balanza!F52</f>
        <v>0</v>
      </c>
      <c r="C43" s="245" t="s">
        <v>191</v>
      </c>
      <c r="D43" s="246" t="s">
        <v>193</v>
      </c>
      <c r="E43" s="247" t="s">
        <v>191</v>
      </c>
      <c r="F43" s="248">
        <f>SQRT((F44*F44)+(F45*F45)+(F46*F46))</f>
        <v>7.2548834128008787E-3</v>
      </c>
      <c r="G43" s="247" t="e">
        <f>100/(B47-B51)</f>
        <v>#DIV/0!</v>
      </c>
      <c r="H43" s="276" t="e">
        <f>+G43*F43</f>
        <v>#DIV/0!</v>
      </c>
      <c r="I43" s="355"/>
    </row>
    <row r="44" spans="1:10" s="361" customFormat="1" ht="21.75" customHeight="1">
      <c r="A44" s="242" t="s">
        <v>194</v>
      </c>
      <c r="B44" s="362"/>
      <c r="C44" s="307">
        <f>IF($I$41=0.1,Balanza!G52,Balanza!N52)</f>
        <v>0</v>
      </c>
      <c r="D44" s="232" t="s">
        <v>193</v>
      </c>
      <c r="E44" s="237" t="s">
        <v>195</v>
      </c>
      <c r="F44" s="233">
        <f>+C44</f>
        <v>0</v>
      </c>
      <c r="G44" s="238" t="s">
        <v>191</v>
      </c>
      <c r="H44" s="243" t="s">
        <v>191</v>
      </c>
      <c r="I44" s="355"/>
    </row>
    <row r="45" spans="1:10" s="361" customFormat="1" ht="21.75" customHeight="1">
      <c r="A45" s="242" t="s">
        <v>196</v>
      </c>
      <c r="B45" s="362"/>
      <c r="C45" s="308">
        <f>IF($I$41=0.1,2*(SQRT(Balanza!$C$4+Balanza!$D$4*(POWER(B43,2)))),2*(SQRT(Balanza!$K$4+Balanza!$L$4*(POWER(B43,2)))))</f>
        <v>1.3311649033834989E-2</v>
      </c>
      <c r="D45" s="232" t="s">
        <v>193</v>
      </c>
      <c r="E45" s="239" t="s">
        <v>197</v>
      </c>
      <c r="F45" s="233">
        <f>+C45/2</f>
        <v>6.6558245169174943E-3</v>
      </c>
      <c r="G45" s="238" t="s">
        <v>191</v>
      </c>
      <c r="H45" s="243" t="s">
        <v>191</v>
      </c>
      <c r="I45" s="355"/>
    </row>
    <row r="46" spans="1:10" s="361" customFormat="1" ht="21.75" customHeight="1">
      <c r="A46" s="242" t="s">
        <v>198</v>
      </c>
      <c r="B46" s="362"/>
      <c r="C46" s="309">
        <f>+$I$41</f>
        <v>0.01</v>
      </c>
      <c r="D46" s="232" t="s">
        <v>193</v>
      </c>
      <c r="E46" s="240" t="s">
        <v>199</v>
      </c>
      <c r="F46" s="234">
        <f>C46/SQRT(3)/2</f>
        <v>2.886751345948129E-3</v>
      </c>
      <c r="G46" s="238" t="s">
        <v>191</v>
      </c>
      <c r="H46" s="243" t="s">
        <v>191</v>
      </c>
      <c r="I46" s="355"/>
    </row>
    <row r="47" spans="1:10" s="361" customFormat="1" ht="21.75" customHeight="1">
      <c r="A47" s="275" t="s">
        <v>200</v>
      </c>
      <c r="B47" s="244">
        <f>Balanza!F53</f>
        <v>0</v>
      </c>
      <c r="C47" s="301"/>
      <c r="D47" s="249" t="s">
        <v>193</v>
      </c>
      <c r="E47" s="245" t="s">
        <v>191</v>
      </c>
      <c r="F47" s="248">
        <f>SQRT((F48*F48)+(F49*F49)+(F50*F50))</f>
        <v>7.2548834128008787E-3</v>
      </c>
      <c r="G47" s="246" t="e">
        <f>((B43-B51)*100)/(POWER((B47-B51),2))</f>
        <v>#DIV/0!</v>
      </c>
      <c r="H47" s="277" t="e">
        <f>+G47*F47</f>
        <v>#DIV/0!</v>
      </c>
      <c r="I47" s="355"/>
      <c r="J47" s="355"/>
    </row>
    <row r="48" spans="1:10" s="361" customFormat="1" ht="21.75" customHeight="1">
      <c r="A48" s="242" t="s">
        <v>194</v>
      </c>
      <c r="B48" s="362"/>
      <c r="C48" s="307">
        <f>IF($I$41=0.1,Balanza!G53,Balanza!N53)</f>
        <v>0</v>
      </c>
      <c r="D48" s="232" t="s">
        <v>193</v>
      </c>
      <c r="E48" s="237" t="s">
        <v>195</v>
      </c>
      <c r="F48" s="233">
        <f>+C48</f>
        <v>0</v>
      </c>
      <c r="G48" s="238" t="s">
        <v>191</v>
      </c>
      <c r="H48" s="243" t="s">
        <v>191</v>
      </c>
      <c r="I48" s="355"/>
      <c r="J48" s="355"/>
    </row>
    <row r="49" spans="1:10" s="361" customFormat="1" ht="21.75" customHeight="1">
      <c r="A49" s="242" t="s">
        <v>196</v>
      </c>
      <c r="B49" s="362"/>
      <c r="C49" s="308">
        <f>IF($I$41=0.1,2*(SQRT(Balanza!$C$4+Balanza!$D$4*(POWER(B47,2)))),2*(SQRT(Balanza!$K$4+Balanza!$L$4*(POWER(B47,2)))))</f>
        <v>1.3311649033834989E-2</v>
      </c>
      <c r="D49" s="232" t="s">
        <v>193</v>
      </c>
      <c r="E49" s="239" t="s">
        <v>197</v>
      </c>
      <c r="F49" s="233">
        <f>+C49/2</f>
        <v>6.6558245169174943E-3</v>
      </c>
      <c r="G49" s="238" t="s">
        <v>191</v>
      </c>
      <c r="H49" s="243" t="s">
        <v>191</v>
      </c>
      <c r="I49" s="355"/>
      <c r="J49" s="355"/>
    </row>
    <row r="50" spans="1:10" s="361" customFormat="1" ht="21.75" customHeight="1">
      <c r="A50" s="242" t="s">
        <v>198</v>
      </c>
      <c r="B50" s="362"/>
      <c r="C50" s="309">
        <f>+$I$41</f>
        <v>0.01</v>
      </c>
      <c r="D50" s="232" t="s">
        <v>193</v>
      </c>
      <c r="E50" s="240" t="s">
        <v>199</v>
      </c>
      <c r="F50" s="234">
        <f>C50/SQRT(3)/2</f>
        <v>2.886751345948129E-3</v>
      </c>
      <c r="G50" s="238" t="s">
        <v>191</v>
      </c>
      <c r="H50" s="243" t="s">
        <v>191</v>
      </c>
      <c r="I50" s="355"/>
      <c r="J50" s="355"/>
    </row>
    <row r="51" spans="1:10" s="361" customFormat="1" ht="21.75" customHeight="1">
      <c r="A51" s="275" t="s">
        <v>201</v>
      </c>
      <c r="B51" s="244">
        <f>Balanza!F54</f>
        <v>0</v>
      </c>
      <c r="C51" s="301"/>
      <c r="D51" s="249" t="s">
        <v>193</v>
      </c>
      <c r="E51" s="245" t="s">
        <v>191</v>
      </c>
      <c r="F51" s="248">
        <f>SQRT((F52*F52)+(F53*F53)+(F54*F54))</f>
        <v>7.2548834128008787E-3</v>
      </c>
      <c r="G51" s="250" t="e">
        <f>((B43-B47)*100)/(POWER((B47-B51),2))</f>
        <v>#DIV/0!</v>
      </c>
      <c r="H51" s="278" t="e">
        <f>+G51*F51</f>
        <v>#DIV/0!</v>
      </c>
      <c r="I51" s="355"/>
      <c r="J51" s="355"/>
    </row>
    <row r="52" spans="1:10" s="361" customFormat="1" ht="21.75" customHeight="1">
      <c r="A52" s="242" t="s">
        <v>194</v>
      </c>
      <c r="B52" s="362"/>
      <c r="C52" s="307">
        <f>IF($I$41=0.1,Balanza!G54,Balanza!N54)</f>
        <v>0</v>
      </c>
      <c r="D52" s="232" t="s">
        <v>193</v>
      </c>
      <c r="E52" s="237" t="s">
        <v>195</v>
      </c>
      <c r="F52" s="233">
        <f>+C52</f>
        <v>0</v>
      </c>
      <c r="G52" s="238" t="s">
        <v>191</v>
      </c>
      <c r="H52" s="243" t="s">
        <v>191</v>
      </c>
      <c r="I52" s="355"/>
      <c r="J52" s="355"/>
    </row>
    <row r="53" spans="1:10" s="361" customFormat="1" ht="21.75" customHeight="1">
      <c r="A53" s="242" t="s">
        <v>196</v>
      </c>
      <c r="B53" s="362"/>
      <c r="C53" s="308">
        <f>IF($I$41=0.1,2*(SQRT(Balanza!$C$4+Balanza!$D$4*(POWER(B51,2)))),2*(SQRT(Balanza!$K$4+Balanza!$L$4*(POWER(B51,2)))))</f>
        <v>1.3311649033834989E-2</v>
      </c>
      <c r="D53" s="232" t="s">
        <v>193</v>
      </c>
      <c r="E53" s="239" t="s">
        <v>197</v>
      </c>
      <c r="F53" s="233">
        <f>+C53/2</f>
        <v>6.6558245169174943E-3</v>
      </c>
      <c r="G53" s="238" t="s">
        <v>191</v>
      </c>
      <c r="H53" s="243" t="s">
        <v>191</v>
      </c>
      <c r="I53" s="355"/>
      <c r="J53" s="355"/>
    </row>
    <row r="54" spans="1:10" s="361" customFormat="1" ht="21.75" customHeight="1">
      <c r="A54" s="242" t="s">
        <v>198</v>
      </c>
      <c r="B54" s="362"/>
      <c r="C54" s="309">
        <f>+$I$41</f>
        <v>0.01</v>
      </c>
      <c r="D54" s="232" t="s">
        <v>193</v>
      </c>
      <c r="E54" s="240" t="s">
        <v>199</v>
      </c>
      <c r="F54" s="234">
        <f>C54/SQRT(3)/2</f>
        <v>2.886751345948129E-3</v>
      </c>
      <c r="G54" s="238" t="s">
        <v>191</v>
      </c>
      <c r="H54" s="243" t="s">
        <v>191</v>
      </c>
      <c r="I54" s="355"/>
      <c r="J54" s="355"/>
    </row>
    <row r="55" spans="1:10" s="361" customFormat="1" ht="21.75" customHeight="1" thickBot="1">
      <c r="A55" s="279" t="s">
        <v>202</v>
      </c>
      <c r="B55" s="280">
        <f>+precision!C36</f>
        <v>5.2257375874926432E-2</v>
      </c>
      <c r="C55" s="281"/>
      <c r="D55" s="282" t="s">
        <v>56</v>
      </c>
      <c r="E55" s="283" t="s">
        <v>203</v>
      </c>
      <c r="F55" s="284">
        <f>B55/SQRT(1)</f>
        <v>5.2257375874926432E-2</v>
      </c>
      <c r="G55" s="285">
        <v>1</v>
      </c>
      <c r="H55" s="286">
        <f>+F55*G55</f>
        <v>5.2257375874926432E-2</v>
      </c>
      <c r="I55" s="355"/>
      <c r="J55" s="355"/>
    </row>
    <row r="56" spans="1:10" s="361" customFormat="1" ht="16.5" customHeight="1">
      <c r="A56" s="726" t="s">
        <v>204</v>
      </c>
      <c r="B56" s="727"/>
      <c r="C56" s="728"/>
      <c r="D56" s="287" t="s">
        <v>56</v>
      </c>
      <c r="E56" s="288"/>
      <c r="F56" s="719" t="e">
        <f>SQRT((H43*H43)+(H47*H47)+(H51*H51)+(H55*H55))</f>
        <v>#DIV/0!</v>
      </c>
      <c r="G56" s="719"/>
      <c r="H56" s="720"/>
      <c r="I56" s="355" t="s">
        <v>205</v>
      </c>
      <c r="J56" s="355"/>
    </row>
    <row r="57" spans="1:10" s="361" customFormat="1" ht="18" customHeight="1" thickBot="1">
      <c r="A57" s="729" t="s">
        <v>206</v>
      </c>
      <c r="B57" s="730"/>
      <c r="C57" s="731"/>
      <c r="D57" s="325" t="s">
        <v>56</v>
      </c>
      <c r="E57" s="289"/>
      <c r="F57" s="721" t="e">
        <f>F56*2</f>
        <v>#DIV/0!</v>
      </c>
      <c r="G57" s="721"/>
      <c r="H57" s="722"/>
      <c r="I57" s="355" t="s">
        <v>207</v>
      </c>
      <c r="J57" s="355"/>
    </row>
    <row r="58" spans="1:10" ht="15" customHeight="1">
      <c r="A58" s="355"/>
      <c r="D58" s="355"/>
      <c r="E58" s="355"/>
      <c r="F58" s="355"/>
      <c r="G58" s="355"/>
      <c r="H58" s="355"/>
      <c r="I58" s="355"/>
      <c r="J58" s="355"/>
    </row>
    <row r="59" spans="1:10" ht="15" customHeight="1">
      <c r="A59" s="355"/>
      <c r="D59" s="355"/>
      <c r="E59" s="355"/>
      <c r="F59" s="355"/>
      <c r="G59" s="355"/>
      <c r="H59" s="355"/>
      <c r="I59" s="355"/>
      <c r="J59" s="355"/>
    </row>
    <row r="60" spans="1:10" ht="15" customHeight="1">
      <c r="E60" s="355"/>
      <c r="F60" s="355"/>
      <c r="G60" s="355"/>
      <c r="H60" s="355"/>
      <c r="I60" s="355"/>
      <c r="J60" s="355"/>
    </row>
    <row r="61" spans="1:10" ht="15" customHeight="1">
      <c r="B61" s="363" t="s">
        <v>208</v>
      </c>
      <c r="E61" s="355"/>
      <c r="F61" s="355"/>
      <c r="G61" s="355"/>
      <c r="H61" s="355"/>
      <c r="I61" s="355"/>
      <c r="J61" s="355"/>
    </row>
    <row r="62" spans="1:10" ht="15" customHeight="1">
      <c r="A62" s="259"/>
      <c r="B62" s="235" t="s">
        <v>209</v>
      </c>
      <c r="C62" s="205" t="s">
        <v>183</v>
      </c>
      <c r="D62" s="258" t="s">
        <v>210</v>
      </c>
      <c r="E62" s="355"/>
      <c r="F62" s="355"/>
      <c r="G62" s="355"/>
      <c r="H62" s="355"/>
      <c r="I62" s="355"/>
      <c r="J62" s="355"/>
    </row>
    <row r="63" spans="1:10" ht="15" customHeight="1">
      <c r="A63" s="260"/>
      <c r="B63" s="364" t="str">
        <f>A43</f>
        <v>Masa Humeda  y tara</v>
      </c>
      <c r="C63" s="255" t="e">
        <f>H43</f>
        <v>#DIV/0!</v>
      </c>
      <c r="D63" s="261" t="e">
        <f>C63*100/$C$67</f>
        <v>#DIV/0!</v>
      </c>
      <c r="E63" s="355"/>
      <c r="F63" s="355"/>
      <c r="G63" s="355"/>
      <c r="H63" s="355"/>
      <c r="I63" s="355"/>
      <c r="J63" s="355"/>
    </row>
    <row r="64" spans="1:10" ht="15" customHeight="1">
      <c r="A64" s="260"/>
      <c r="B64" s="364" t="str">
        <f>A47</f>
        <v>Masa Seca y tara</v>
      </c>
      <c r="C64" s="255" t="e">
        <f>H47</f>
        <v>#DIV/0!</v>
      </c>
      <c r="D64" s="261" t="e">
        <f>C64*100/$C$67</f>
        <v>#DIV/0!</v>
      </c>
      <c r="E64" s="355"/>
      <c r="F64" s="355"/>
      <c r="G64" s="355"/>
      <c r="H64" s="355"/>
      <c r="I64" s="355"/>
      <c r="J64" s="355"/>
    </row>
    <row r="65" spans="1:10" ht="15" customHeight="1">
      <c r="A65" s="262"/>
      <c r="B65" s="365" t="str">
        <f>A51</f>
        <v>Masa Tara</v>
      </c>
      <c r="C65" s="256" t="e">
        <f>H51</f>
        <v>#DIV/0!</v>
      </c>
      <c r="D65" s="263" t="e">
        <f>C65*100/$C$67</f>
        <v>#DIV/0!</v>
      </c>
      <c r="E65" s="355"/>
      <c r="F65" s="355"/>
      <c r="G65" s="355"/>
      <c r="H65" s="355"/>
      <c r="I65" s="355"/>
      <c r="J65" s="355"/>
    </row>
    <row r="66" spans="1:10" ht="15" customHeight="1">
      <c r="A66" s="262"/>
      <c r="B66" s="365" t="str">
        <f>A55</f>
        <v>factor de presición</v>
      </c>
      <c r="C66" s="257">
        <f>H55</f>
        <v>5.2257375874926432E-2</v>
      </c>
      <c r="D66" s="263" t="e">
        <f>C66*100/$C$67</f>
        <v>#DIV/0!</v>
      </c>
      <c r="E66" s="355"/>
      <c r="F66" s="355"/>
      <c r="G66" s="355"/>
      <c r="H66" s="355"/>
      <c r="I66" s="355"/>
      <c r="J66" s="355"/>
    </row>
    <row r="67" spans="1:10" ht="15" customHeight="1">
      <c r="A67" s="264"/>
      <c r="B67" s="265"/>
      <c r="C67" s="266" t="e">
        <f>SUM(C63:C66)</f>
        <v>#DIV/0!</v>
      </c>
      <c r="D67" s="236" t="e">
        <f>C67*100/$C$67</f>
        <v>#DIV/0!</v>
      </c>
      <c r="E67" s="355"/>
      <c r="F67" s="355"/>
      <c r="G67" s="355"/>
      <c r="H67" s="355"/>
      <c r="I67" s="355"/>
      <c r="J67" s="355"/>
    </row>
    <row r="68" spans="1:10" ht="15" customHeight="1"/>
    <row r="69" spans="1:10" ht="15" customHeight="1"/>
    <row r="70" spans="1:10" ht="15" customHeight="1"/>
    <row r="71" spans="1:10" ht="15" customHeight="1"/>
    <row r="72" spans="1:10">
      <c r="A72" s="569" t="s">
        <v>341</v>
      </c>
      <c r="B72" s="697" t="s">
        <v>342</v>
      </c>
      <c r="C72" s="698"/>
      <c r="D72" s="570"/>
      <c r="E72" s="699" t="s">
        <v>343</v>
      </c>
      <c r="F72" s="700"/>
      <c r="G72" s="701" t="s">
        <v>344</v>
      </c>
      <c r="H72" s="698"/>
    </row>
    <row r="73" spans="1:10">
      <c r="D73" s="570"/>
    </row>
    <row r="74" spans="1:10">
      <c r="A74" s="571" t="s">
        <v>345</v>
      </c>
      <c r="B74" s="702"/>
      <c r="C74" s="698"/>
      <c r="D74" s="570"/>
      <c r="E74" s="703" t="s">
        <v>346</v>
      </c>
      <c r="F74" s="700"/>
      <c r="G74" s="702"/>
      <c r="H74" s="698"/>
    </row>
  </sheetData>
  <mergeCells count="13">
    <mergeCell ref="C1:H4"/>
    <mergeCell ref="A1:B4"/>
    <mergeCell ref="F56:H56"/>
    <mergeCell ref="F57:H57"/>
    <mergeCell ref="A40:H40"/>
    <mergeCell ref="A56:C56"/>
    <mergeCell ref="A57:C57"/>
    <mergeCell ref="B72:C72"/>
    <mergeCell ref="E72:F72"/>
    <mergeCell ref="G72:H72"/>
    <mergeCell ref="B74:C74"/>
    <mergeCell ref="E74:F74"/>
    <mergeCell ref="G74:H74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>
              <from>
                <xdr:col>4</xdr:col>
                <xdr:colOff>769620</xdr:colOff>
                <xdr:row>13</xdr:row>
                <xdr:rowOff>83820</xdr:rowOff>
              </from>
              <to>
                <xdr:col>6</xdr:col>
                <xdr:colOff>480060</xdr:colOff>
                <xdr:row>17</xdr:row>
                <xdr:rowOff>60960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55"/>
  <sheetViews>
    <sheetView zoomScaleNormal="100" workbookViewId="0">
      <selection activeCell="S10" sqref="S10"/>
    </sheetView>
  </sheetViews>
  <sheetFormatPr baseColWidth="10" defaultColWidth="11.44140625" defaultRowHeight="13.2"/>
  <cols>
    <col min="1" max="1" width="3" style="173" customWidth="1"/>
    <col min="2" max="2" width="11.44140625" style="173"/>
    <col min="3" max="3" width="10.33203125" style="173" customWidth="1"/>
    <col min="4" max="4" width="12" style="173" customWidth="1"/>
    <col min="5" max="7" width="11.44140625" style="173"/>
    <col min="8" max="8" width="14.44140625" style="173" customWidth="1"/>
    <col min="9" max="9" width="11.44140625" style="173"/>
    <col min="10" max="10" width="11.88671875" style="173" customWidth="1"/>
    <col min="11" max="11" width="9.88671875" style="173" customWidth="1"/>
    <col min="12" max="15" width="12.109375" style="173" customWidth="1"/>
    <col min="16" max="16384" width="11.44140625" style="173"/>
  </cols>
  <sheetData>
    <row r="2" spans="2:15">
      <c r="B2" s="209" t="s">
        <v>211</v>
      </c>
      <c r="C2" s="210"/>
      <c r="D2" s="210"/>
      <c r="J2" s="209" t="s">
        <v>211</v>
      </c>
      <c r="K2" s="210"/>
      <c r="L2" s="210"/>
    </row>
    <row r="3" spans="2:15">
      <c r="B3" s="304" t="s">
        <v>134</v>
      </c>
      <c r="C3" s="367">
        <v>-3.2899999999999998E-6</v>
      </c>
      <c r="F3" s="89"/>
      <c r="J3" s="304" t="s">
        <v>134</v>
      </c>
      <c r="K3" s="367">
        <v>3.7900000000000001E-6</v>
      </c>
    </row>
    <row r="4" spans="2:15">
      <c r="B4" s="173" t="s">
        <v>212</v>
      </c>
      <c r="C4" s="304">
        <v>4.1599999999999996E-3</v>
      </c>
      <c r="D4" s="367">
        <v>2.4299999999999999E-10</v>
      </c>
      <c r="F4" s="89"/>
      <c r="J4" s="173" t="s">
        <v>212</v>
      </c>
      <c r="K4" s="367">
        <v>4.4299999999999999E-5</v>
      </c>
      <c r="L4" s="367">
        <v>2.3000000000000001E-10</v>
      </c>
    </row>
    <row r="5" spans="2:15">
      <c r="B5" s="173" t="s">
        <v>213</v>
      </c>
      <c r="C5" s="305" t="s">
        <v>338</v>
      </c>
      <c r="D5" s="304"/>
      <c r="F5" s="89"/>
      <c r="J5" s="173" t="s">
        <v>213</v>
      </c>
      <c r="K5" s="305" t="s">
        <v>337</v>
      </c>
      <c r="L5" s="304"/>
    </row>
    <row r="6" spans="2:15">
      <c r="B6" s="173" t="s">
        <v>214</v>
      </c>
      <c r="C6" s="305">
        <v>0.1</v>
      </c>
      <c r="D6" s="304" t="s">
        <v>193</v>
      </c>
      <c r="E6" s="89"/>
      <c r="F6" s="89"/>
      <c r="J6" s="173" t="s">
        <v>214</v>
      </c>
      <c r="K6" s="305" t="s">
        <v>215</v>
      </c>
      <c r="L6" s="304"/>
    </row>
    <row r="7" spans="2:15">
      <c r="B7" s="173" t="s">
        <v>216</v>
      </c>
      <c r="C7" s="304" t="s">
        <v>136</v>
      </c>
      <c r="E7" s="89"/>
      <c r="F7" s="89"/>
      <c r="J7" s="173" t="s">
        <v>216</v>
      </c>
      <c r="K7" s="304" t="s">
        <v>137</v>
      </c>
    </row>
    <row r="8" spans="2:15">
      <c r="B8" s="173" t="s">
        <v>339</v>
      </c>
      <c r="C8" s="89"/>
      <c r="D8" s="489">
        <v>46132</v>
      </c>
      <c r="E8" s="89"/>
      <c r="F8" s="89"/>
      <c r="J8" s="173" t="s">
        <v>274</v>
      </c>
      <c r="L8" s="489">
        <v>46132</v>
      </c>
    </row>
    <row r="9" spans="2:15">
      <c r="B9" s="212"/>
      <c r="C9" s="211"/>
      <c r="J9" s="212"/>
    </row>
    <row r="10" spans="2:15">
      <c r="B10" s="212"/>
      <c r="C10" s="211"/>
      <c r="J10" s="212"/>
    </row>
    <row r="11" spans="2:15">
      <c r="B11" s="212"/>
      <c r="C11" s="211"/>
      <c r="J11" s="212"/>
    </row>
    <row r="12" spans="2:15">
      <c r="B12" s="215" t="s">
        <v>288</v>
      </c>
      <c r="C12" s="315" t="s">
        <v>217</v>
      </c>
      <c r="D12" s="215">
        <v>200</v>
      </c>
      <c r="E12" s="215">
        <v>500</v>
      </c>
      <c r="F12" s="215">
        <v>1000</v>
      </c>
      <c r="G12" s="215">
        <v>5000</v>
      </c>
      <c r="H12" s="215">
        <v>10000</v>
      </c>
      <c r="J12" s="215" t="s">
        <v>288</v>
      </c>
      <c r="K12" s="315" t="s">
        <v>217</v>
      </c>
      <c r="L12" s="215">
        <v>20</v>
      </c>
      <c r="M12" s="215">
        <v>200</v>
      </c>
      <c r="N12" s="215">
        <v>500</v>
      </c>
      <c r="O12" s="215">
        <v>1000</v>
      </c>
    </row>
    <row r="13" spans="2:15">
      <c r="B13" s="379">
        <v>1</v>
      </c>
      <c r="C13" s="380">
        <v>46083</v>
      </c>
      <c r="D13" s="314">
        <v>200</v>
      </c>
      <c r="E13" s="314">
        <v>500</v>
      </c>
      <c r="F13" s="314">
        <v>1000</v>
      </c>
      <c r="G13" s="314">
        <v>5000</v>
      </c>
      <c r="H13" s="314">
        <v>10000</v>
      </c>
      <c r="J13" s="379">
        <v>1</v>
      </c>
      <c r="K13" s="380">
        <v>46083</v>
      </c>
      <c r="L13" s="378">
        <v>20</v>
      </c>
      <c r="M13" s="378">
        <v>200</v>
      </c>
      <c r="N13" s="378">
        <v>500</v>
      </c>
      <c r="O13" s="378">
        <v>1000</v>
      </c>
    </row>
    <row r="14" spans="2:15">
      <c r="B14" s="379">
        <v>2</v>
      </c>
      <c r="C14" s="380">
        <v>46084</v>
      </c>
      <c r="D14" s="314">
        <v>200</v>
      </c>
      <c r="E14" s="314">
        <v>500</v>
      </c>
      <c r="F14" s="314">
        <v>1000</v>
      </c>
      <c r="G14" s="314">
        <v>5000</v>
      </c>
      <c r="H14" s="314">
        <v>10000</v>
      </c>
      <c r="J14" s="379">
        <v>2</v>
      </c>
      <c r="K14" s="380">
        <v>46084</v>
      </c>
      <c r="L14" s="378">
        <v>20</v>
      </c>
      <c r="M14" s="378">
        <v>200</v>
      </c>
      <c r="N14" s="378">
        <v>500</v>
      </c>
      <c r="O14" s="378">
        <v>1000</v>
      </c>
    </row>
    <row r="15" spans="2:15">
      <c r="B15" s="379">
        <v>3</v>
      </c>
      <c r="C15" s="380">
        <v>46085</v>
      </c>
      <c r="D15" s="314">
        <v>200</v>
      </c>
      <c r="E15" s="314">
        <v>500</v>
      </c>
      <c r="F15" s="314">
        <v>1000</v>
      </c>
      <c r="G15" s="314">
        <v>5000</v>
      </c>
      <c r="H15" s="314">
        <v>10000</v>
      </c>
      <c r="J15" s="379">
        <v>3</v>
      </c>
      <c r="K15" s="380">
        <v>46085</v>
      </c>
      <c r="L15" s="378">
        <v>20</v>
      </c>
      <c r="M15" s="378">
        <v>200</v>
      </c>
      <c r="N15" s="378">
        <v>500</v>
      </c>
      <c r="O15" s="378">
        <v>1000</v>
      </c>
    </row>
    <row r="16" spans="2:15">
      <c r="B16" s="379">
        <v>4</v>
      </c>
      <c r="C16" s="380">
        <v>46086</v>
      </c>
      <c r="D16" s="314">
        <v>200</v>
      </c>
      <c r="E16" s="314">
        <v>500</v>
      </c>
      <c r="F16" s="314">
        <v>1000</v>
      </c>
      <c r="G16" s="314">
        <v>5000</v>
      </c>
      <c r="H16" s="314">
        <v>10000</v>
      </c>
      <c r="J16" s="379">
        <v>4</v>
      </c>
      <c r="K16" s="380">
        <v>46086</v>
      </c>
      <c r="L16" s="378">
        <v>20</v>
      </c>
      <c r="M16" s="378">
        <v>200</v>
      </c>
      <c r="N16" s="378">
        <v>500</v>
      </c>
      <c r="O16" s="378">
        <v>1000</v>
      </c>
    </row>
    <row r="17" spans="2:15">
      <c r="B17" s="379">
        <v>5</v>
      </c>
      <c r="C17" s="380">
        <v>46087</v>
      </c>
      <c r="D17" s="314">
        <v>200</v>
      </c>
      <c r="E17" s="314">
        <v>500</v>
      </c>
      <c r="F17" s="314">
        <v>1000</v>
      </c>
      <c r="G17" s="314">
        <v>5000</v>
      </c>
      <c r="H17" s="314">
        <v>10000</v>
      </c>
      <c r="J17" s="379">
        <v>5</v>
      </c>
      <c r="K17" s="380">
        <v>46087</v>
      </c>
      <c r="L17" s="378">
        <v>20</v>
      </c>
      <c r="M17" s="378">
        <v>200</v>
      </c>
      <c r="N17" s="378">
        <v>500</v>
      </c>
      <c r="O17" s="378">
        <v>1000</v>
      </c>
    </row>
    <row r="18" spans="2:15">
      <c r="B18" s="379">
        <v>6</v>
      </c>
      <c r="C18" s="380">
        <v>46088</v>
      </c>
      <c r="D18" s="314">
        <v>200</v>
      </c>
      <c r="E18" s="314">
        <v>500</v>
      </c>
      <c r="F18" s="314">
        <v>1000</v>
      </c>
      <c r="G18" s="314">
        <v>5000</v>
      </c>
      <c r="H18" s="314">
        <v>10000</v>
      </c>
      <c r="J18" s="379">
        <v>6</v>
      </c>
      <c r="K18" s="380">
        <v>46088</v>
      </c>
      <c r="L18" s="378">
        <v>20</v>
      </c>
      <c r="M18" s="378">
        <v>200</v>
      </c>
      <c r="N18" s="378">
        <v>500</v>
      </c>
      <c r="O18" s="378">
        <v>1000</v>
      </c>
    </row>
    <row r="19" spans="2:15">
      <c r="B19" s="379">
        <v>7</v>
      </c>
      <c r="C19" s="380">
        <v>46090</v>
      </c>
      <c r="D19" s="314">
        <v>200</v>
      </c>
      <c r="E19" s="314">
        <v>500</v>
      </c>
      <c r="F19" s="314">
        <v>1000</v>
      </c>
      <c r="G19" s="314">
        <v>5000</v>
      </c>
      <c r="H19" s="314">
        <v>10000</v>
      </c>
      <c r="J19" s="379">
        <v>7</v>
      </c>
      <c r="K19" s="380">
        <v>46090</v>
      </c>
      <c r="L19" s="378">
        <v>20</v>
      </c>
      <c r="M19" s="378">
        <v>200</v>
      </c>
      <c r="N19" s="378">
        <v>500</v>
      </c>
      <c r="O19" s="378">
        <v>1000</v>
      </c>
    </row>
    <row r="20" spans="2:15">
      <c r="B20" s="379">
        <v>8</v>
      </c>
      <c r="C20" s="380">
        <v>46091</v>
      </c>
      <c r="D20" s="314">
        <v>200</v>
      </c>
      <c r="E20" s="314">
        <v>500</v>
      </c>
      <c r="F20" s="314">
        <v>1000</v>
      </c>
      <c r="G20" s="314">
        <v>5000</v>
      </c>
      <c r="H20" s="314">
        <v>10000</v>
      </c>
      <c r="J20" s="379">
        <v>8</v>
      </c>
      <c r="K20" s="380">
        <v>46091</v>
      </c>
      <c r="L20" s="378">
        <v>20</v>
      </c>
      <c r="M20" s="378">
        <v>200</v>
      </c>
      <c r="N20" s="378">
        <v>500</v>
      </c>
      <c r="O20" s="378">
        <v>1000</v>
      </c>
    </row>
    <row r="21" spans="2:15">
      <c r="B21" s="379">
        <v>9</v>
      </c>
      <c r="C21" s="380">
        <v>46092</v>
      </c>
      <c r="D21" s="314">
        <v>200</v>
      </c>
      <c r="E21" s="314">
        <v>500</v>
      </c>
      <c r="F21" s="314">
        <v>1000</v>
      </c>
      <c r="G21" s="314">
        <v>5000</v>
      </c>
      <c r="H21" s="314">
        <v>10000</v>
      </c>
      <c r="J21" s="379">
        <v>9</v>
      </c>
      <c r="K21" s="380">
        <v>46092</v>
      </c>
      <c r="L21" s="378">
        <v>20</v>
      </c>
      <c r="M21" s="378">
        <v>200</v>
      </c>
      <c r="N21" s="378">
        <v>500</v>
      </c>
      <c r="O21" s="378">
        <v>1000</v>
      </c>
    </row>
    <row r="22" spans="2:15">
      <c r="B22" s="379">
        <v>10</v>
      </c>
      <c r="C22" s="380">
        <v>46093</v>
      </c>
      <c r="D22" s="314">
        <v>200</v>
      </c>
      <c r="E22" s="314">
        <v>500</v>
      </c>
      <c r="F22" s="314">
        <v>1000</v>
      </c>
      <c r="G22" s="314">
        <v>5000</v>
      </c>
      <c r="H22" s="314">
        <v>10000</v>
      </c>
      <c r="J22" s="379">
        <v>10</v>
      </c>
      <c r="K22" s="380">
        <v>46093</v>
      </c>
      <c r="L22" s="378">
        <v>20</v>
      </c>
      <c r="M22" s="378">
        <v>200</v>
      </c>
      <c r="N22" s="378">
        <v>500</v>
      </c>
      <c r="O22" s="378">
        <v>1000</v>
      </c>
    </row>
    <row r="23" spans="2:15">
      <c r="B23" s="379">
        <v>11</v>
      </c>
      <c r="C23" s="380">
        <v>46094</v>
      </c>
      <c r="D23" s="314">
        <v>200</v>
      </c>
      <c r="E23" s="314">
        <v>500</v>
      </c>
      <c r="F23" s="314">
        <v>1000</v>
      </c>
      <c r="G23" s="314">
        <v>5000</v>
      </c>
      <c r="H23" s="314">
        <v>10000</v>
      </c>
      <c r="J23" s="379">
        <v>11</v>
      </c>
      <c r="K23" s="380">
        <v>46094</v>
      </c>
      <c r="L23" s="378">
        <v>20</v>
      </c>
      <c r="M23" s="378">
        <v>200</v>
      </c>
      <c r="N23" s="378">
        <v>500</v>
      </c>
      <c r="O23" s="378">
        <v>1000</v>
      </c>
    </row>
    <row r="24" spans="2:15">
      <c r="B24" s="379">
        <v>12</v>
      </c>
      <c r="C24" s="380">
        <v>46095</v>
      </c>
      <c r="D24" s="314">
        <v>200</v>
      </c>
      <c r="E24" s="314">
        <v>500</v>
      </c>
      <c r="F24" s="314">
        <v>1000</v>
      </c>
      <c r="G24" s="314">
        <v>5000</v>
      </c>
      <c r="H24" s="314">
        <v>10000</v>
      </c>
      <c r="J24" s="379">
        <v>12</v>
      </c>
      <c r="K24" s="380">
        <v>46095</v>
      </c>
      <c r="L24" s="378">
        <v>20</v>
      </c>
      <c r="M24" s="378">
        <v>200</v>
      </c>
      <c r="N24" s="378">
        <v>500</v>
      </c>
      <c r="O24" s="378">
        <v>1000</v>
      </c>
    </row>
    <row r="25" spans="2:15">
      <c r="B25" s="379">
        <v>13</v>
      </c>
      <c r="C25" s="380">
        <v>46097</v>
      </c>
      <c r="D25" s="314">
        <v>200</v>
      </c>
      <c r="E25" s="314">
        <v>500</v>
      </c>
      <c r="F25" s="314">
        <v>1000</v>
      </c>
      <c r="G25" s="314">
        <v>5000</v>
      </c>
      <c r="H25" s="314">
        <v>10000</v>
      </c>
      <c r="J25" s="379">
        <v>13</v>
      </c>
      <c r="K25" s="380">
        <v>46097</v>
      </c>
      <c r="L25" s="378">
        <v>20</v>
      </c>
      <c r="M25" s="378">
        <v>200</v>
      </c>
      <c r="N25" s="378">
        <v>500</v>
      </c>
      <c r="O25" s="378">
        <v>1000</v>
      </c>
    </row>
    <row r="26" spans="2:15">
      <c r="B26" s="379">
        <v>14</v>
      </c>
      <c r="C26" s="380">
        <v>46098</v>
      </c>
      <c r="D26" s="314">
        <v>200</v>
      </c>
      <c r="E26" s="314">
        <v>500</v>
      </c>
      <c r="F26" s="314">
        <v>1000</v>
      </c>
      <c r="G26" s="314">
        <v>5000</v>
      </c>
      <c r="H26" s="314">
        <v>10000</v>
      </c>
      <c r="J26" s="379">
        <v>14</v>
      </c>
      <c r="K26" s="380">
        <v>46098</v>
      </c>
      <c r="L26" s="378">
        <v>20</v>
      </c>
      <c r="M26" s="378">
        <v>200</v>
      </c>
      <c r="N26" s="378">
        <v>500</v>
      </c>
      <c r="O26" s="378">
        <v>1000</v>
      </c>
    </row>
    <row r="27" spans="2:15">
      <c r="B27" s="379">
        <v>15</v>
      </c>
      <c r="C27" s="380">
        <v>46099</v>
      </c>
      <c r="D27" s="314">
        <v>200</v>
      </c>
      <c r="E27" s="314">
        <v>500</v>
      </c>
      <c r="F27" s="314">
        <v>1000</v>
      </c>
      <c r="G27" s="314">
        <v>5000</v>
      </c>
      <c r="H27" s="314">
        <v>10000</v>
      </c>
      <c r="J27" s="379">
        <v>15</v>
      </c>
      <c r="K27" s="380">
        <v>46099</v>
      </c>
      <c r="L27" s="378">
        <v>20</v>
      </c>
      <c r="M27" s="378">
        <v>200</v>
      </c>
      <c r="N27" s="378">
        <v>500</v>
      </c>
      <c r="O27" s="378">
        <v>1000</v>
      </c>
    </row>
    <row r="28" spans="2:15">
      <c r="B28" s="379">
        <v>16</v>
      </c>
      <c r="C28" s="380">
        <v>46100</v>
      </c>
      <c r="D28" s="314">
        <v>200</v>
      </c>
      <c r="E28" s="314">
        <v>500</v>
      </c>
      <c r="F28" s="314">
        <v>1000</v>
      </c>
      <c r="G28" s="314">
        <v>5000</v>
      </c>
      <c r="H28" s="314">
        <v>10000</v>
      </c>
      <c r="J28" s="379">
        <v>16</v>
      </c>
      <c r="K28" s="380">
        <v>46100</v>
      </c>
      <c r="L28" s="378">
        <v>20</v>
      </c>
      <c r="M28" s="378">
        <v>200</v>
      </c>
      <c r="N28" s="378">
        <v>500</v>
      </c>
      <c r="O28" s="378">
        <v>1000</v>
      </c>
    </row>
    <row r="29" spans="2:15">
      <c r="B29" s="379">
        <v>17</v>
      </c>
      <c r="C29" s="380">
        <v>46101</v>
      </c>
      <c r="D29" s="314">
        <v>200</v>
      </c>
      <c r="E29" s="314">
        <v>500</v>
      </c>
      <c r="F29" s="314">
        <v>1000</v>
      </c>
      <c r="G29" s="314">
        <v>5000</v>
      </c>
      <c r="H29" s="314">
        <v>10000</v>
      </c>
      <c r="J29" s="379">
        <v>17</v>
      </c>
      <c r="K29" s="380">
        <v>46101</v>
      </c>
      <c r="L29" s="378">
        <v>20</v>
      </c>
      <c r="M29" s="378">
        <v>200</v>
      </c>
      <c r="N29" s="378">
        <v>500</v>
      </c>
      <c r="O29" s="378">
        <v>1000</v>
      </c>
    </row>
    <row r="30" spans="2:15">
      <c r="B30" s="379">
        <v>18</v>
      </c>
      <c r="C30" s="380">
        <v>46102</v>
      </c>
      <c r="D30" s="314">
        <v>200</v>
      </c>
      <c r="E30" s="314">
        <v>500</v>
      </c>
      <c r="F30" s="314">
        <v>1000</v>
      </c>
      <c r="G30" s="314">
        <v>5000</v>
      </c>
      <c r="H30" s="314">
        <v>10000</v>
      </c>
      <c r="J30" s="379">
        <v>18</v>
      </c>
      <c r="K30" s="380">
        <v>46102</v>
      </c>
      <c r="L30" s="378">
        <v>20</v>
      </c>
      <c r="M30" s="378">
        <v>200</v>
      </c>
      <c r="N30" s="378">
        <v>500</v>
      </c>
      <c r="O30" s="378">
        <v>1000</v>
      </c>
    </row>
    <row r="31" spans="2:15">
      <c r="B31" s="379">
        <v>19</v>
      </c>
      <c r="C31" s="380">
        <v>46104</v>
      </c>
      <c r="D31" s="314">
        <v>200</v>
      </c>
      <c r="E31" s="314">
        <v>500</v>
      </c>
      <c r="F31" s="314">
        <v>1000</v>
      </c>
      <c r="G31" s="314">
        <v>5000</v>
      </c>
      <c r="H31" s="314">
        <v>10000</v>
      </c>
      <c r="J31" s="379">
        <v>19</v>
      </c>
      <c r="K31" s="380">
        <v>46104</v>
      </c>
      <c r="L31" s="378">
        <v>20</v>
      </c>
      <c r="M31" s="378">
        <v>200</v>
      </c>
      <c r="N31" s="378">
        <v>500</v>
      </c>
      <c r="O31" s="378">
        <v>1000</v>
      </c>
    </row>
    <row r="32" spans="2:15">
      <c r="B32" s="379">
        <v>20</v>
      </c>
      <c r="C32" s="380">
        <v>46105</v>
      </c>
      <c r="D32" s="314">
        <v>200</v>
      </c>
      <c r="E32" s="314">
        <v>500</v>
      </c>
      <c r="F32" s="314">
        <v>1000</v>
      </c>
      <c r="G32" s="314">
        <v>5000</v>
      </c>
      <c r="H32" s="314">
        <v>10000</v>
      </c>
      <c r="J32" s="379">
        <v>20</v>
      </c>
      <c r="K32" s="380">
        <v>46105</v>
      </c>
      <c r="L32" s="378">
        <v>20</v>
      </c>
      <c r="M32" s="378">
        <v>200</v>
      </c>
      <c r="N32" s="378">
        <v>500</v>
      </c>
      <c r="O32" s="378">
        <v>1000</v>
      </c>
    </row>
    <row r="33" spans="2:15">
      <c r="B33" s="379">
        <v>21</v>
      </c>
      <c r="C33" s="380">
        <v>46106</v>
      </c>
      <c r="D33" s="314">
        <v>200</v>
      </c>
      <c r="E33" s="314">
        <v>500</v>
      </c>
      <c r="F33" s="314">
        <v>1000</v>
      </c>
      <c r="G33" s="314">
        <v>5000</v>
      </c>
      <c r="H33" s="314">
        <v>10000</v>
      </c>
      <c r="J33" s="379">
        <v>21</v>
      </c>
      <c r="K33" s="380">
        <v>46106</v>
      </c>
      <c r="L33" s="378">
        <v>20</v>
      </c>
      <c r="M33" s="378">
        <v>200</v>
      </c>
      <c r="N33" s="378">
        <v>500</v>
      </c>
      <c r="O33" s="378">
        <v>1000</v>
      </c>
    </row>
    <row r="34" spans="2:15">
      <c r="B34" s="379">
        <v>22</v>
      </c>
      <c r="C34" s="380">
        <v>46107</v>
      </c>
      <c r="D34" s="314">
        <v>200</v>
      </c>
      <c r="E34" s="314">
        <v>500</v>
      </c>
      <c r="F34" s="314">
        <v>1000</v>
      </c>
      <c r="G34" s="314">
        <v>5000</v>
      </c>
      <c r="H34" s="314">
        <v>10000</v>
      </c>
      <c r="J34" s="379">
        <v>22</v>
      </c>
      <c r="K34" s="380">
        <v>46107</v>
      </c>
      <c r="L34" s="378">
        <v>20</v>
      </c>
      <c r="M34" s="378">
        <v>200</v>
      </c>
      <c r="N34" s="378">
        <v>500</v>
      </c>
      <c r="O34" s="378">
        <v>1000</v>
      </c>
    </row>
    <row r="35" spans="2:15">
      <c r="B35" s="379">
        <v>23</v>
      </c>
      <c r="C35" s="380">
        <v>46108</v>
      </c>
      <c r="D35" s="314">
        <v>200</v>
      </c>
      <c r="E35" s="314">
        <v>500</v>
      </c>
      <c r="F35" s="314">
        <v>1000</v>
      </c>
      <c r="G35" s="314">
        <v>5000</v>
      </c>
      <c r="H35" s="314">
        <v>10000</v>
      </c>
      <c r="J35" s="379">
        <v>23</v>
      </c>
      <c r="K35" s="380">
        <v>46108</v>
      </c>
      <c r="L35" s="378">
        <v>20</v>
      </c>
      <c r="M35" s="378">
        <v>200</v>
      </c>
      <c r="N35" s="378">
        <v>500</v>
      </c>
      <c r="O35" s="378">
        <v>1000</v>
      </c>
    </row>
    <row r="36" spans="2:15">
      <c r="B36" s="379">
        <v>24</v>
      </c>
      <c r="C36" s="380">
        <v>46109</v>
      </c>
      <c r="D36" s="314">
        <v>200</v>
      </c>
      <c r="E36" s="314">
        <v>500</v>
      </c>
      <c r="F36" s="314">
        <v>1000</v>
      </c>
      <c r="G36" s="314">
        <v>5000</v>
      </c>
      <c r="H36" s="314">
        <v>10000</v>
      </c>
      <c r="J36" s="379">
        <v>24</v>
      </c>
      <c r="K36" s="380">
        <v>46109</v>
      </c>
      <c r="L36" s="378">
        <v>20</v>
      </c>
      <c r="M36" s="378">
        <v>200</v>
      </c>
      <c r="N36" s="378">
        <v>500</v>
      </c>
      <c r="O36" s="378">
        <v>1000</v>
      </c>
    </row>
    <row r="37" spans="2:15">
      <c r="B37" s="379">
        <v>25</v>
      </c>
      <c r="C37" s="380">
        <v>46111</v>
      </c>
      <c r="D37" s="314">
        <v>200</v>
      </c>
      <c r="E37" s="314">
        <v>500</v>
      </c>
      <c r="F37" s="314">
        <v>1000</v>
      </c>
      <c r="G37" s="314">
        <v>5000</v>
      </c>
      <c r="H37" s="314">
        <v>10000</v>
      </c>
      <c r="J37" s="379">
        <v>25</v>
      </c>
      <c r="K37" s="380">
        <v>46111</v>
      </c>
      <c r="L37" s="378">
        <v>20</v>
      </c>
      <c r="M37" s="378">
        <v>200</v>
      </c>
      <c r="N37" s="378">
        <v>500</v>
      </c>
      <c r="O37" s="378">
        <v>1000</v>
      </c>
    </row>
    <row r="38" spans="2:15">
      <c r="B38" s="379">
        <v>26</v>
      </c>
      <c r="C38" s="380">
        <v>46112</v>
      </c>
      <c r="D38" s="314">
        <v>200</v>
      </c>
      <c r="E38" s="314">
        <v>500</v>
      </c>
      <c r="F38" s="314">
        <v>1000</v>
      </c>
      <c r="G38" s="314">
        <v>5000</v>
      </c>
      <c r="H38" s="314">
        <v>10000</v>
      </c>
      <c r="J38" s="379">
        <v>26</v>
      </c>
      <c r="K38" s="380">
        <v>46112</v>
      </c>
      <c r="L38" s="378">
        <v>20</v>
      </c>
      <c r="M38" s="378">
        <v>200</v>
      </c>
      <c r="N38" s="378">
        <v>500</v>
      </c>
      <c r="O38" s="378">
        <v>1000</v>
      </c>
    </row>
    <row r="39" spans="2:15">
      <c r="B39" s="379"/>
      <c r="C39" s="380"/>
      <c r="D39" s="314"/>
      <c r="E39" s="314"/>
      <c r="F39" s="314"/>
      <c r="G39" s="314"/>
      <c r="H39" s="314"/>
      <c r="J39" s="379"/>
      <c r="K39" s="380"/>
      <c r="L39" s="378"/>
      <c r="M39" s="378"/>
      <c r="N39" s="378"/>
      <c r="O39" s="378"/>
    </row>
    <row r="40" spans="2:15">
      <c r="B40" s="379"/>
      <c r="C40" s="380"/>
      <c r="D40" s="314"/>
      <c r="E40" s="314"/>
      <c r="F40" s="314"/>
      <c r="G40" s="314"/>
      <c r="H40" s="314"/>
      <c r="J40" s="379"/>
      <c r="K40" s="380"/>
      <c r="L40" s="378"/>
      <c r="M40" s="378"/>
      <c r="N40" s="378"/>
      <c r="O40" s="378"/>
    </row>
    <row r="41" spans="2:15">
      <c r="B41" s="379"/>
      <c r="C41" s="380"/>
      <c r="D41" s="314"/>
      <c r="E41" s="314"/>
      <c r="F41" s="314"/>
      <c r="G41" s="314"/>
      <c r="H41" s="314"/>
      <c r="J41" s="379"/>
      <c r="K41" s="380"/>
      <c r="L41" s="378"/>
      <c r="M41" s="378"/>
      <c r="N41" s="378"/>
      <c r="O41" s="378"/>
    </row>
    <row r="42" spans="2:15">
      <c r="B42" s="379"/>
      <c r="C42" s="380"/>
      <c r="D42" s="314"/>
      <c r="E42" s="314"/>
      <c r="F42" s="314"/>
      <c r="G42" s="314"/>
      <c r="H42" s="314"/>
      <c r="J42" s="379"/>
      <c r="K42" s="380"/>
      <c r="L42" s="378"/>
      <c r="M42" s="378"/>
      <c r="N42" s="378"/>
      <c r="O42" s="378"/>
    </row>
    <row r="43" spans="2:15">
      <c r="B43" s="379"/>
      <c r="C43" s="380"/>
      <c r="D43" s="314"/>
      <c r="E43" s="314"/>
      <c r="F43" s="314"/>
      <c r="G43" s="314"/>
      <c r="H43" s="314"/>
      <c r="J43" s="379"/>
      <c r="K43" s="380"/>
      <c r="L43" s="378"/>
      <c r="M43" s="378"/>
      <c r="N43" s="378"/>
      <c r="O43" s="378"/>
    </row>
    <row r="44" spans="2:15">
      <c r="D44" s="216"/>
      <c r="E44" s="216"/>
      <c r="F44" s="216"/>
      <c r="G44" s="216"/>
      <c r="H44" s="216"/>
    </row>
    <row r="45" spans="2:15">
      <c r="B45" s="214">
        <f>COUNT(B13:B43)</f>
        <v>26</v>
      </c>
      <c r="C45" s="213" t="s">
        <v>218</v>
      </c>
      <c r="D45" s="217">
        <f>STDEV(D13:D43)/SQRT($B$45)</f>
        <v>0</v>
      </c>
      <c r="E45" s="217">
        <f t="shared" ref="E45:H45" si="0">STDEV(E13:E43)/SQRT($B$45)</f>
        <v>0</v>
      </c>
      <c r="F45" s="217">
        <f t="shared" si="0"/>
        <v>0</v>
      </c>
      <c r="G45" s="217">
        <f t="shared" si="0"/>
        <v>0</v>
      </c>
      <c r="H45" s="217">
        <f t="shared" si="0"/>
        <v>0</v>
      </c>
      <c r="J45" s="214">
        <f>COUNT(J13:J43)</f>
        <v>26</v>
      </c>
      <c r="K45" s="213" t="s">
        <v>218</v>
      </c>
      <c r="L45" s="217">
        <f>STDEV(L13:L43)/SQRT($J$45)</f>
        <v>0</v>
      </c>
      <c r="M45" s="217">
        <f t="shared" ref="M45:O45" si="1">STDEV(M13:M43)/SQRT($J$45)</f>
        <v>0</v>
      </c>
      <c r="N45" s="217">
        <f t="shared" si="1"/>
        <v>0</v>
      </c>
      <c r="O45" s="217">
        <f t="shared" si="1"/>
        <v>0</v>
      </c>
    </row>
    <row r="47" spans="2:15">
      <c r="C47" s="732" t="s">
        <v>219</v>
      </c>
      <c r="D47" s="732"/>
      <c r="E47" s="732"/>
      <c r="F47" s="732"/>
      <c r="G47" s="732"/>
      <c r="H47" s="732"/>
      <c r="J47" s="734" t="s">
        <v>219</v>
      </c>
      <c r="K47" s="735"/>
      <c r="L47" s="735"/>
      <c r="M47" s="735"/>
      <c r="N47" s="735"/>
      <c r="O47" s="736"/>
    </row>
    <row r="48" spans="2:15">
      <c r="C48" s="219"/>
      <c r="D48" s="220"/>
      <c r="E48" s="220"/>
      <c r="F48" s="220"/>
      <c r="G48" s="220"/>
      <c r="H48" s="221"/>
      <c r="J48" s="270"/>
      <c r="K48" s="733"/>
      <c r="L48" s="733"/>
      <c r="M48" s="733"/>
      <c r="N48" s="220"/>
      <c r="O48" s="221"/>
    </row>
    <row r="49" spans="3:15" ht="15.75" customHeight="1">
      <c r="C49" s="222"/>
      <c r="D49" s="214">
        <f>+D12</f>
        <v>200</v>
      </c>
      <c r="E49" s="214">
        <f t="shared" ref="E49:H49" si="2">+E12</f>
        <v>500</v>
      </c>
      <c r="F49" s="214">
        <f t="shared" si="2"/>
        <v>1000</v>
      </c>
      <c r="G49" s="214">
        <f t="shared" si="2"/>
        <v>5000</v>
      </c>
      <c r="H49" s="214">
        <f t="shared" si="2"/>
        <v>10000</v>
      </c>
      <c r="J49" s="222"/>
      <c r="K49" s="214">
        <v>20</v>
      </c>
      <c r="L49" s="214">
        <v>200</v>
      </c>
      <c r="M49" s="214">
        <v>500</v>
      </c>
      <c r="N49" s="214">
        <v>1000</v>
      </c>
      <c r="O49" s="172"/>
    </row>
    <row r="50" spans="3:15">
      <c r="C50" s="222"/>
      <c r="D50" s="217">
        <f>D45</f>
        <v>0</v>
      </c>
      <c r="E50" s="217">
        <f>E45</f>
        <v>0</v>
      </c>
      <c r="F50" s="217">
        <f>F45</f>
        <v>0</v>
      </c>
      <c r="G50" s="217">
        <f>G45</f>
        <v>0</v>
      </c>
      <c r="H50" s="217">
        <f>H45</f>
        <v>0</v>
      </c>
      <c r="J50" s="271"/>
      <c r="K50" s="217">
        <f>L45</f>
        <v>0</v>
      </c>
      <c r="L50" s="217">
        <f>M45</f>
        <v>0</v>
      </c>
      <c r="M50" s="217">
        <f>N45</f>
        <v>0</v>
      </c>
      <c r="N50" s="217">
        <f>O45</f>
        <v>0</v>
      </c>
      <c r="O50" s="172"/>
    </row>
    <row r="51" spans="3:15">
      <c r="C51" s="222"/>
      <c r="G51" s="223"/>
      <c r="H51" s="221"/>
      <c r="J51" s="222"/>
      <c r="K51" s="302"/>
      <c r="L51" s="302"/>
      <c r="M51" s="302"/>
      <c r="N51" s="302"/>
      <c r="O51" s="172"/>
    </row>
    <row r="52" spans="3:15">
      <c r="C52" s="222"/>
      <c r="D52" s="267"/>
      <c r="E52" s="268" t="s">
        <v>42</v>
      </c>
      <c r="F52" s="218">
        <f>ABS(+'Datos ensayo'!$H$19)</f>
        <v>0</v>
      </c>
      <c r="G52" s="303">
        <f>IF(AND(F52&lt;=$H$49,F52&gt;$G$49),$H$50,IF(AND(F52&lt;=$G$49,F52&gt;$F$49),$G$50,IF(AND(F52&lt;=$F$49,F52&gt;$E$49),$F$50,IF(AND(F52&lt;=$E$49,F52&gt;$D$49),$E$50,IF(F52&lt;=$D$49,$D$50)))))</f>
        <v>0</v>
      </c>
      <c r="H52" s="172"/>
      <c r="J52" s="222"/>
      <c r="K52" s="267"/>
      <c r="L52" s="268" t="s">
        <v>42</v>
      </c>
      <c r="M52" s="218">
        <f>ABS(+'Datos ensayo'!$H$19)</f>
        <v>0</v>
      </c>
      <c r="N52" s="303">
        <f>IF(AND(M52&lt;=$N$49,M52&gt;$M$49),$N$50,IF(AND(M52&lt;=$M$49,M52&gt;$L$49),$M$50,IF(AND(M52&lt;=$L$49,M52&gt;$K$49),$L$50,IF(M52&lt;=$K$49,$K$50))))</f>
        <v>0</v>
      </c>
      <c r="O52" s="172"/>
    </row>
    <row r="53" spans="3:15">
      <c r="C53" s="222"/>
      <c r="D53" s="222"/>
      <c r="E53" s="269" t="s">
        <v>48</v>
      </c>
      <c r="F53" s="218">
        <f>ABS(+'Datos ensayo'!$H$21)</f>
        <v>0</v>
      </c>
      <c r="G53" s="303">
        <f t="shared" ref="G53:G54" si="3">IF(AND(F53&lt;=$H$49,F53&gt;$G$49),$H$50,IF(AND(F53&lt;=$G$49,F53&gt;$F$49),$G$50,IF(AND(F53&lt;=$F$49,F53&gt;$E$49),$F$50,IF(AND(F53&lt;=$E$49,F53&gt;$D$49),$E$50,IF(F53&lt;=$D$49,$D$50)))))</f>
        <v>0</v>
      </c>
      <c r="H53" s="172"/>
      <c r="J53" s="222"/>
      <c r="K53" s="222"/>
      <c r="L53" s="269" t="s">
        <v>48</v>
      </c>
      <c r="M53" s="218">
        <f>ABS(+'Datos ensayo'!$H$21)</f>
        <v>0</v>
      </c>
      <c r="N53" s="303">
        <f t="shared" ref="N53:N54" si="4">IF(AND(M53&lt;=$N$49,M53&gt;$M$49),$N$50,IF(AND(M53&lt;=$M$49,M53&gt;$L$49),$M$50,IF(AND(M53&lt;=$L$49,M53&gt;$K$49),$L$50,IF(M53&lt;=$K$49,$K$50))))</f>
        <v>0</v>
      </c>
      <c r="O53" s="172"/>
    </row>
    <row r="54" spans="3:15">
      <c r="C54" s="222"/>
      <c r="D54" s="267"/>
      <c r="E54" s="310" t="s">
        <v>52</v>
      </c>
      <c r="F54" s="218">
        <f>ABS(+'Datos ensayo'!$H$22)</f>
        <v>0</v>
      </c>
      <c r="G54" s="303">
        <f t="shared" si="3"/>
        <v>0</v>
      </c>
      <c r="H54" s="172"/>
      <c r="J54" s="222"/>
      <c r="K54" s="267"/>
      <c r="L54" s="174" t="s">
        <v>52</v>
      </c>
      <c r="M54" s="218">
        <f>ABS(+'Datos ensayo'!$H$22)</f>
        <v>0</v>
      </c>
      <c r="N54" s="303">
        <f t="shared" si="4"/>
        <v>0</v>
      </c>
      <c r="O54" s="172"/>
    </row>
    <row r="55" spans="3:15">
      <c r="C55" s="224"/>
      <c r="D55" s="225"/>
      <c r="E55" s="225"/>
      <c r="F55" s="225"/>
      <c r="G55" s="225"/>
      <c r="H55" s="226"/>
      <c r="J55" s="224"/>
      <c r="K55" s="225"/>
      <c r="L55" s="225"/>
      <c r="M55" s="225"/>
      <c r="N55" s="225"/>
      <c r="O55" s="226"/>
    </row>
  </sheetData>
  <mergeCells count="3">
    <mergeCell ref="C47:H47"/>
    <mergeCell ref="K48:M48"/>
    <mergeCell ref="J47:O4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41"/>
  <sheetViews>
    <sheetView topLeftCell="A18" workbookViewId="0">
      <selection activeCell="F11" sqref="F11"/>
    </sheetView>
  </sheetViews>
  <sheetFormatPr baseColWidth="10" defaultColWidth="11.44140625" defaultRowHeight="13.2"/>
  <cols>
    <col min="1" max="1" width="6.6640625" style="204" customWidth="1"/>
    <col min="2" max="2" width="38.88671875" style="204" customWidth="1"/>
    <col min="3" max="5" width="11.44140625" style="204"/>
    <col min="6" max="6" width="13.5546875" style="204" customWidth="1"/>
    <col min="7" max="16384" width="11.44140625" style="204"/>
  </cols>
  <sheetData>
    <row r="2" spans="2:6">
      <c r="B2" s="300" t="s">
        <v>220</v>
      </c>
    </row>
    <row r="3" spans="2:6">
      <c r="B3" s="298" t="s">
        <v>221</v>
      </c>
    </row>
    <row r="4" spans="2:6">
      <c r="B4" s="298" t="s">
        <v>222</v>
      </c>
      <c r="C4" s="368"/>
    </row>
    <row r="5" spans="2:6" ht="6" customHeight="1">
      <c r="B5" s="298"/>
      <c r="C5" s="290"/>
    </row>
    <row r="6" spans="2:6">
      <c r="B6" s="298" t="s">
        <v>223</v>
      </c>
      <c r="E6" s="298"/>
    </row>
    <row r="7" spans="2:6" ht="17.25" customHeight="1">
      <c r="B7" s="299" t="s">
        <v>224</v>
      </c>
      <c r="C7" s="441" t="s">
        <v>272</v>
      </c>
      <c r="D7" s="441" t="s">
        <v>270</v>
      </c>
      <c r="E7" s="442" t="s">
        <v>271</v>
      </c>
      <c r="F7" s="442" t="s">
        <v>273</v>
      </c>
    </row>
    <row r="8" spans="2:6" ht="16.5" customHeight="1">
      <c r="B8" s="741" t="s">
        <v>225</v>
      </c>
      <c r="C8" s="443">
        <v>9.4700000000000006</v>
      </c>
      <c r="D8" s="443">
        <v>9.3699999999999992</v>
      </c>
      <c r="E8" s="443">
        <v>9.3800000000000008</v>
      </c>
      <c r="F8" s="444">
        <v>9.5399999999999991</v>
      </c>
    </row>
    <row r="9" spans="2:6" ht="16.5" customHeight="1">
      <c r="B9" s="741"/>
      <c r="C9" s="443">
        <v>9.3000000000000007</v>
      </c>
      <c r="D9" s="443">
        <v>9.41</v>
      </c>
      <c r="E9" s="443">
        <v>9.39</v>
      </c>
      <c r="F9" s="444">
        <v>9.3699999999999992</v>
      </c>
    </row>
    <row r="10" spans="2:6" ht="16.5" customHeight="1">
      <c r="B10" s="741"/>
      <c r="C10" s="443">
        <v>9.34</v>
      </c>
      <c r="D10" s="443">
        <v>9.42</v>
      </c>
      <c r="E10" s="443">
        <v>9.3699999999999992</v>
      </c>
      <c r="F10" s="444">
        <v>9.3699999999999992</v>
      </c>
    </row>
    <row r="11" spans="2:6" ht="16.5" customHeight="1">
      <c r="B11" s="741"/>
      <c r="C11" s="443">
        <v>9.4600000000000009</v>
      </c>
      <c r="D11" s="445">
        <v>9.4499999999999993</v>
      </c>
      <c r="E11" s="445">
        <v>9.42</v>
      </c>
      <c r="F11" s="444">
        <v>9.4</v>
      </c>
    </row>
    <row r="12" spans="2:6" ht="16.5" customHeight="1">
      <c r="B12" s="741"/>
      <c r="C12" s="443">
        <v>9.3800000000000008</v>
      </c>
      <c r="D12" s="445">
        <v>9.41</v>
      </c>
      <c r="E12" s="445">
        <v>9.3699999999999992</v>
      </c>
      <c r="F12" s="444">
        <v>9.5</v>
      </c>
    </row>
    <row r="13" spans="2:6" ht="16.5" customHeight="1">
      <c r="B13" s="741"/>
      <c r="C13" s="443">
        <v>9.35</v>
      </c>
      <c r="D13" s="445">
        <v>9.3800000000000008</v>
      </c>
      <c r="E13" s="445">
        <v>9.3800000000000008</v>
      </c>
      <c r="F13" s="444">
        <v>9.4600000000000009</v>
      </c>
    </row>
    <row r="14" spans="2:6" ht="16.5" customHeight="1">
      <c r="B14" s="741"/>
      <c r="C14" s="369"/>
      <c r="D14" s="369"/>
      <c r="E14" s="316"/>
      <c r="F14" s="316"/>
    </row>
    <row r="15" spans="2:6" ht="16.5" customHeight="1">
      <c r="B15" s="741"/>
      <c r="C15" s="369"/>
      <c r="D15" s="369"/>
      <c r="E15" s="316"/>
      <c r="F15" s="316"/>
    </row>
    <row r="16" spans="2:6" ht="16.5" customHeight="1">
      <c r="B16" s="741"/>
      <c r="C16" s="369"/>
      <c r="D16" s="369"/>
      <c r="E16" s="316"/>
      <c r="F16" s="316"/>
    </row>
    <row r="17" spans="2:8" ht="16.5" customHeight="1">
      <c r="B17" s="741"/>
      <c r="C17" s="369"/>
      <c r="D17" s="369"/>
      <c r="E17" s="316"/>
      <c r="F17" s="316"/>
    </row>
    <row r="18" spans="2:8" ht="16.5" customHeight="1">
      <c r="B18" s="741"/>
      <c r="C18" s="317"/>
      <c r="D18" s="317"/>
      <c r="E18" s="316"/>
      <c r="F18" s="316"/>
    </row>
    <row r="19" spans="2:8" ht="16.5" customHeight="1">
      <c r="B19" s="741"/>
      <c r="C19" s="317"/>
      <c r="D19" s="317"/>
      <c r="E19" s="316"/>
      <c r="F19" s="316"/>
    </row>
    <row r="20" spans="2:8" ht="17.25" customHeight="1">
      <c r="B20" s="291" t="s">
        <v>226</v>
      </c>
      <c r="C20" s="292">
        <f>COUNT(C8:C19)</f>
        <v>6</v>
      </c>
      <c r="D20" s="292">
        <f t="shared" ref="D20:F20" si="0">COUNT(D8:D19)</f>
        <v>6</v>
      </c>
      <c r="E20" s="292">
        <f>COUNT(E8:E19)</f>
        <v>6</v>
      </c>
      <c r="F20" s="292">
        <f t="shared" si="0"/>
        <v>6</v>
      </c>
    </row>
    <row r="21" spans="2:8" ht="17.25" customHeight="1">
      <c r="B21" s="291" t="s">
        <v>227</v>
      </c>
      <c r="C21" s="291">
        <f>COUNTA(C7:F7)</f>
        <v>4</v>
      </c>
    </row>
    <row r="22" spans="2:8" ht="6" customHeight="1">
      <c r="B22" s="206"/>
      <c r="C22" s="207"/>
      <c r="D22" s="207"/>
      <c r="E22" s="208"/>
      <c r="F22" s="298"/>
    </row>
    <row r="23" spans="2:8" ht="17.25" customHeight="1">
      <c r="B23" s="293" t="s">
        <v>228</v>
      </c>
      <c r="C23" s="294">
        <f>COUNT(C8:C19)</f>
        <v>6</v>
      </c>
      <c r="D23" s="294">
        <f>COUNT(D8:D19)</f>
        <v>6</v>
      </c>
      <c r="E23" s="294">
        <f>COUNT(E8:E19)</f>
        <v>6</v>
      </c>
      <c r="F23" s="294">
        <f t="shared" ref="F23" si="1">COUNT(F8:F19)</f>
        <v>6</v>
      </c>
    </row>
    <row r="24" spans="2:8" ht="17.25" customHeight="1">
      <c r="B24" s="293" t="s">
        <v>229</v>
      </c>
      <c r="C24" s="326">
        <f>AVERAGE(C8:C19)</f>
        <v>9.3833333333333346</v>
      </c>
      <c r="D24" s="326">
        <f>AVERAGE(D8:D19)</f>
        <v>9.4066666666666681</v>
      </c>
      <c r="E24" s="326">
        <f>AVERAGE(E8:E19)</f>
        <v>9.3849999999999998</v>
      </c>
      <c r="F24" s="326">
        <f t="shared" ref="F24" si="2">AVERAGE(F8:F19)</f>
        <v>9.44</v>
      </c>
      <c r="H24" s="295"/>
    </row>
    <row r="25" spans="2:8" ht="17.25" customHeight="1">
      <c r="B25" s="293" t="s">
        <v>230</v>
      </c>
      <c r="C25" s="326">
        <f>STDEV(C8:C19)</f>
        <v>6.8313005106397554E-2</v>
      </c>
      <c r="D25" s="326">
        <f>STDEV(D8:D19)</f>
        <v>2.8751811537130273E-2</v>
      </c>
      <c r="E25" s="326">
        <f>STDEV(E8:E19)</f>
        <v>1.8708286933869878E-2</v>
      </c>
      <c r="F25" s="326">
        <f t="shared" ref="F25" si="3">STDEV(F8:F19)</f>
        <v>7.1274118724821922E-2</v>
      </c>
    </row>
    <row r="26" spans="2:8" ht="15" customHeight="1">
      <c r="B26" s="293" t="s">
        <v>231</v>
      </c>
      <c r="C26" s="326">
        <f>VAR(C8:C19)</f>
        <v>4.6666666666666974E-3</v>
      </c>
      <c r="D26" s="326">
        <f>VAR(D8:D19)</f>
        <v>8.2666666666665752E-4</v>
      </c>
      <c r="E26" s="326">
        <f>VAR(E8:E19)</f>
        <v>3.5000000000000639E-4</v>
      </c>
      <c r="F26" s="326">
        <f t="shared" ref="F26" si="4">VAR(F8:F19)</f>
        <v>5.0800000000000107E-3</v>
      </c>
    </row>
    <row r="27" spans="2:8" ht="15" customHeight="1">
      <c r="B27" s="296"/>
      <c r="C27" s="366"/>
      <c r="D27" s="366"/>
      <c r="E27" s="366"/>
      <c r="F27" s="298"/>
    </row>
    <row r="28" spans="2:8" ht="15" customHeight="1">
      <c r="B28" s="297" t="s">
        <v>232</v>
      </c>
      <c r="C28" s="742">
        <f>+C23*C24+D23*D24+E23*E24+F23*F24</f>
        <v>225.69</v>
      </c>
      <c r="D28" s="742"/>
      <c r="E28" s="742"/>
      <c r="F28" s="298"/>
    </row>
    <row r="29" spans="2:8" ht="15" customHeight="1">
      <c r="B29" s="297" t="s">
        <v>233</v>
      </c>
      <c r="C29" s="743">
        <f>+C23*POWER(C24,2)+F23*POWER(F24,2)+E23*POWER(E24,2)+D23*POWER(D24,2)</f>
        <v>2122.3448833333332</v>
      </c>
      <c r="D29" s="743"/>
      <c r="E29" s="743"/>
      <c r="F29" s="298"/>
    </row>
    <row r="30" spans="2:8" ht="15" customHeight="1">
      <c r="B30" s="297" t="s">
        <v>234</v>
      </c>
      <c r="C30" s="743">
        <f>+SUM(C23:F23)</f>
        <v>24</v>
      </c>
      <c r="D30" s="743"/>
      <c r="E30" s="743"/>
      <c r="F30" s="298"/>
    </row>
    <row r="31" spans="2:8" ht="15" customHeight="1">
      <c r="B31" s="297" t="s">
        <v>235</v>
      </c>
      <c r="C31" s="743">
        <f>+POWER(C23,2)+POWER(F23,2)+POWER(E23,2)+POWER(D23,2)</f>
        <v>144</v>
      </c>
      <c r="D31" s="743"/>
      <c r="E31" s="743"/>
      <c r="F31" s="298"/>
    </row>
    <row r="32" spans="2:8" ht="15" customHeight="1">
      <c r="B32" s="297" t="s">
        <v>236</v>
      </c>
      <c r="C32" s="740">
        <f>(C20-1)*SUM(C26:F26)</f>
        <v>5.4616666666666855E-2</v>
      </c>
      <c r="D32" s="740"/>
      <c r="E32" s="740"/>
      <c r="F32" s="298"/>
    </row>
    <row r="33" spans="2:6" ht="15" customHeight="1">
      <c r="B33" s="293" t="s">
        <v>237</v>
      </c>
      <c r="C33" s="737">
        <f>ABS((C32/(C30-C21)))</f>
        <v>2.7308333333333429E-3</v>
      </c>
      <c r="D33" s="737"/>
      <c r="E33" s="737"/>
      <c r="F33" s="298"/>
    </row>
    <row r="34" spans="2:6" ht="15" customHeight="1">
      <c r="B34" s="293" t="s">
        <v>238</v>
      </c>
      <c r="C34" s="738">
        <f>ABS((((C29*C30-(C28^2))/(C30*(C21-1)))-(C33))*((C30*(C21-1))/((C30^2)-C31)))</f>
        <v>2.4185185184478981E-4</v>
      </c>
      <c r="D34" s="738"/>
      <c r="E34" s="738"/>
      <c r="F34" s="298"/>
    </row>
    <row r="35" spans="2:6" ht="15" customHeight="1">
      <c r="B35" s="293" t="s">
        <v>239</v>
      </c>
      <c r="C35" s="739">
        <f>(C33+C34)/1000000</f>
        <v>2.9726851851781329E-9</v>
      </c>
      <c r="D35" s="739"/>
      <c r="E35" s="739"/>
      <c r="F35" s="298"/>
    </row>
    <row r="36" spans="2:6" ht="15" customHeight="1">
      <c r="B36" s="293" t="s">
        <v>240</v>
      </c>
      <c r="C36" s="739">
        <f>SQRT(C33)</f>
        <v>5.2257375874926432E-2</v>
      </c>
      <c r="D36" s="739"/>
      <c r="E36" s="739"/>
      <c r="F36" s="298"/>
    </row>
    <row r="37" spans="2:6" ht="15" customHeight="1">
      <c r="B37" s="293" t="s">
        <v>241</v>
      </c>
      <c r="C37" s="739">
        <f>+SQRT(C33+C34)</f>
        <v>5.4522336571153414E-2</v>
      </c>
      <c r="D37" s="739"/>
      <c r="E37" s="739"/>
      <c r="F37" s="298"/>
    </row>
    <row r="38" spans="2:6" ht="15" customHeight="1"/>
    <row r="39" spans="2:6" ht="15" customHeight="1"/>
    <row r="40" spans="2:6" ht="15" customHeight="1"/>
    <row r="41" spans="2:6" ht="15" customHeight="1"/>
  </sheetData>
  <sheetProtection algorithmName="SHA-512" hashValue="uWGzhWDqVO0KnBsKTWQlnwaqiQjVg4K3nPWx/WzwdEGG91l8mnOljto8GPalsw957NXmkaEATXx6SrEp+vk8Ag==" saltValue="kWAGoOoBFdyRAu9/wvWxgw==" spinCount="100000" sheet="1" objects="1" scenarios="1"/>
  <mergeCells count="11">
    <mergeCell ref="C32:E32"/>
    <mergeCell ref="B8:B19"/>
    <mergeCell ref="C28:E28"/>
    <mergeCell ref="C29:E29"/>
    <mergeCell ref="C30:E30"/>
    <mergeCell ref="C31:E31"/>
    <mergeCell ref="C33:E33"/>
    <mergeCell ref="C34:E34"/>
    <mergeCell ref="C35:E35"/>
    <mergeCell ref="C36:E36"/>
    <mergeCell ref="C37:E37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>
      <c r="A2" s="744" t="s">
        <v>242</v>
      </c>
      <c r="B2" s="744"/>
      <c r="C2" s="5" t="s">
        <v>243</v>
      </c>
      <c r="D2" s="4" t="s">
        <v>244</v>
      </c>
      <c r="E2" s="4" t="s">
        <v>245</v>
      </c>
      <c r="F2" s="4" t="s">
        <v>246</v>
      </c>
      <c r="G2" s="4" t="s">
        <v>247</v>
      </c>
      <c r="H2" s="4" t="s">
        <v>248</v>
      </c>
      <c r="I2" s="4" t="s">
        <v>249</v>
      </c>
      <c r="J2" s="4" t="s">
        <v>250</v>
      </c>
      <c r="K2" s="4" t="s">
        <v>251</v>
      </c>
      <c r="L2" s="4" t="s">
        <v>252</v>
      </c>
      <c r="M2" s="4" t="s">
        <v>253</v>
      </c>
    </row>
    <row r="3" spans="1:13" ht="18.75" customHeight="1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254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255</v>
      </c>
    </row>
    <row r="4" spans="1:13" ht="18.75" customHeight="1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256</v>
      </c>
    </row>
    <row r="5" spans="1:13" ht="18.75" customHeight="1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256</v>
      </c>
    </row>
    <row r="6" spans="1:13" ht="18.75" customHeight="1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256</v>
      </c>
    </row>
    <row r="7" spans="1:13" ht="18.75" customHeight="1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256</v>
      </c>
    </row>
    <row r="8" spans="1:13" ht="18.75" customHeight="1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255</v>
      </c>
    </row>
    <row r="9" spans="1:13" ht="15" customHeight="1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informe NTP</vt:lpstr>
      <vt:lpstr>Resumen</vt:lpstr>
      <vt:lpstr>informe ASTM</vt:lpstr>
      <vt:lpstr>Datos ensayo</vt:lpstr>
      <vt:lpstr>Incertidumbre</vt:lpstr>
      <vt:lpstr>Balanza</vt:lpstr>
      <vt:lpstr>precision</vt:lpstr>
      <vt:lpstr>Hoja1</vt:lpstr>
      <vt:lpstr>'Datos ensayo'!Área_de_impresión</vt:lpstr>
      <vt:lpstr>'informe ASTM'!Área_de_impresión</vt:lpstr>
      <vt:lpstr>'informe NTP'!Área_de_impresión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2026-01-02T16:21:47Z</cp:lastPrinted>
  <dcterms:created xsi:type="dcterms:W3CDTF">1999-11-07T15:11:55Z</dcterms:created>
  <dcterms:modified xsi:type="dcterms:W3CDTF">2026-05-12T21:00:18Z</dcterms:modified>
  <cp:contentStatus/>
</cp:coreProperties>
</file>