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Kevser Cansu\Downloads\"/>
    </mc:Choice>
  </mc:AlternateContent>
  <xr:revisionPtr revIDLastSave="0" documentId="13_ncr:1_{50815A28-3EB3-4CDD-AEDD-2AE2C2E0B03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ورقة1" sheetId="1" r:id="rId1"/>
    <sheet name="Sayf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wDGK9OSE8k+3EdpkWq1hbuET9kQ=="/>
    </ext>
  </extLst>
</workbook>
</file>

<file path=xl/calcChain.xml><?xml version="1.0" encoding="utf-8"?>
<calcChain xmlns="http://schemas.openxmlformats.org/spreadsheetml/2006/main">
  <c r="C1309" i="2" l="1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<sst xmlns="http://schemas.openxmlformats.org/spreadsheetml/2006/main" count="2619" uniqueCount="2610">
  <si>
    <t>Deyimler</t>
  </si>
  <si>
    <t>Türkçe Anlamı</t>
  </si>
  <si>
    <t>Abayı yakmak</t>
  </si>
  <si>
    <t>Gönül verip âşık olmak, tutulmak</t>
  </si>
  <si>
    <t>Açığa vurmak</t>
  </si>
  <si>
    <t>Gizli, saklı bir şeyi herkese duyurmak, ortaya çıkarmak</t>
  </si>
  <si>
    <t>Açığını bulmak</t>
  </si>
  <si>
    <t>Herhangi bir işteki eksiği, hileyi veya zararı ortaya çıkarmak</t>
  </si>
  <si>
    <t>Açmaza düşmek</t>
  </si>
  <si>
    <t>İçinden çıkılması oldukça güç bir durumda kalmak</t>
  </si>
  <si>
    <t>Adam olmak</t>
  </si>
  <si>
    <t>Yetişip büyümek, gelişmek, iş güç sahibi olmak</t>
  </si>
  <si>
    <t>Adı çıkmak</t>
  </si>
  <si>
    <t>Kötü bir şöhret kazanmak</t>
  </si>
  <si>
    <t>Ağzı (bir karış) açık kalmak</t>
  </si>
  <si>
    <t>Çok şaşırmak, şaşakalmak</t>
  </si>
  <si>
    <t>Ağzı kulaklarına varmak</t>
  </si>
  <si>
    <t>Çok sevinmek, sevindiği her hâlinden belli olmak</t>
  </si>
  <si>
    <t>Ağzında bakla ıslanmamak</t>
  </si>
  <si>
    <t>Sır saklamayı becerememek, sırrı hemen açığa vurmak</t>
  </si>
  <si>
    <t>Ağzı süt kokmak</t>
  </si>
  <si>
    <t>Çok genç, toy ve tecrübesiz olmak</t>
  </si>
  <si>
    <t>Akan sular durmak</t>
  </si>
  <si>
    <t>Artık itiraz edilebilecek, karşı durulacak bir nokta kalmamak</t>
  </si>
  <si>
    <t>Aklı başına gelmek</t>
  </si>
  <si>
    <t>Zarar gördüğü işlerden uslanıp akıllıca davranmak</t>
  </si>
  <si>
    <t>Aklı çıkmak</t>
  </si>
  <si>
    <t>Titizlikle üzerinde durmak, çok korku geçirmek, çok korkmak</t>
  </si>
  <si>
    <t>Aklı kesmek</t>
  </si>
  <si>
    <t>Bir şeyin olabileceğine, bir şeyi yapabileceğine inanmak</t>
  </si>
  <si>
    <t>çok korku geçirmek, çok korkmak</t>
  </si>
  <si>
    <t>Aklı karışmak</t>
  </si>
  <si>
    <t>Ne yapacağını bilememek, bocalamak, şaşırmak</t>
  </si>
  <si>
    <t>Aklına koymak</t>
  </si>
  <si>
    <t>Bir şeyi yapmaya kesin olarak karar vermek</t>
  </si>
  <si>
    <t>Aklını başına almak / toplamak / devşirmek</t>
  </si>
  <si>
    <t>Mantıksız, ölçüsüz davranışlarda bulunmaktan kendini kurtararak akıllıca bir yola girmek</t>
  </si>
  <si>
    <t>Aklını (bir şeyle) bozmak</t>
  </si>
  <si>
    <t>Sapıtmak, delirmek</t>
  </si>
  <si>
    <t>Aklını çelmek</t>
  </si>
  <si>
    <t>Kararından, niyetinden vazgeçirip başka bir yola sokmak</t>
  </si>
  <si>
    <t>Al aşağı etmek</t>
  </si>
  <si>
    <t>Birini bulunduğu yerden, mevkiden indirmek</t>
  </si>
  <si>
    <t>Al birini vur ötekine</t>
  </si>
  <si>
    <t>Hepsi aynı, bir ayarda, hiçbiri işe yaramaz.</t>
  </si>
  <si>
    <t>Alın teri dökmek</t>
  </si>
  <si>
    <t>Zahmetli iş görüp çok emek vermek</t>
  </si>
  <si>
    <t>Allak bullak etmek</t>
  </si>
  <si>
    <t>Kurulu düzeni bozmak, karmakarışık bir duruma getirmek</t>
  </si>
  <si>
    <t>Allayıp pullamak</t>
  </si>
  <si>
    <t>Kötü görünüşü kapatmak için bir şeyi süslemek, donatmak</t>
  </si>
  <si>
    <t>Allem etmek, kallem etmek</t>
  </si>
  <si>
    <t>İstediğini elde etmek için her türlü kurnazlığa başvurmak</t>
  </si>
  <si>
    <t>Alnının akıyla</t>
  </si>
  <si>
    <t>Küçümsenecek, ayıplanacak bir duruma düşmeden; tertemiz, şerefiyle, başarılı olarak</t>
  </si>
  <si>
    <t>Alnının kara yazısı</t>
  </si>
  <si>
    <t>Kötü talih, baht</t>
  </si>
  <si>
    <t>Altında kalmamak</t>
  </si>
  <si>
    <t>Bir şeyi karşılıksız bırakmamak</t>
  </si>
  <si>
    <t>Altından kalkmak</t>
  </si>
  <si>
    <t>Bir zorluğu yenip işi başarmak</t>
  </si>
  <si>
    <t>Altını üstüne getirmek</t>
  </si>
  <si>
    <t>Bir şeyi bulmak için aramadık yer bırakmamak</t>
  </si>
  <si>
    <t>Alttan almak</t>
  </si>
  <si>
    <t>Sert konuşan birine karşı yumuşak, olumlu, onu haklı görüyormuş gibi tavır almak</t>
  </si>
  <si>
    <t>Aman dilemek</t>
  </si>
  <si>
    <t>Önce direnirken zor karşısında boyun eğip canının bağışlanmasını istemek, galip gelenin merhametine sığınmak</t>
  </si>
  <si>
    <t>Aman vermemek</t>
  </si>
  <si>
    <t>Göz açtırmamak, rahat bırakmamak</t>
  </si>
  <si>
    <t>Ana kuzusu</t>
  </si>
  <si>
    <t>Sıkıntıya, güç işlere alışkın olmayan, nazlı çocuk veya genç</t>
  </si>
  <si>
    <t>Anası ağlamak</t>
  </si>
  <si>
    <t>Çok eziyet çekmek, sıkıntıya katlanmak, bitkin duruma düşmek</t>
  </si>
  <si>
    <t>Anasından doğduğuna pişman etmek</t>
  </si>
  <si>
    <t>Çok eziyet ederek canından bezdirmek, bir kimseyi çok üzmek</t>
  </si>
  <si>
    <t>Anasını ağlatmak</t>
  </si>
  <si>
    <t>Bir kimseye çok eziyet edip sıkıntı çektirmek</t>
  </si>
  <si>
    <t>Anca beraber, kanca beraber</t>
  </si>
  <si>
    <t>Birbirimizden ayrılmayacağız, işler iyi de gitse, kötü de gitse hep birlikte yapacağız, beraberliği bozmayacağız</t>
  </si>
  <si>
    <t>Ara bulmak</t>
  </si>
  <si>
    <t>Birbirleriyle anlaşamayan, bir araya gelemeyen kişileri uzlaştırmak, barıştırmak</t>
  </si>
  <si>
    <t>Araları açılmak</t>
  </si>
  <si>
    <t>İyi ilişkileri, dostlukları, arkadaşlık bağları kopmak; birbirlerine dargın hâle gelmek</t>
  </si>
  <si>
    <t>Aralarından kara kedi geçmek</t>
  </si>
  <si>
    <t>İyi anlaşan iki kişinin veya dostun ilişkileri bozulmak, aralarına soğukluk girmek, birbirlerine gücenmek</t>
  </si>
  <si>
    <t>Aralarından su sızmamak</t>
  </si>
  <si>
    <t>Çok iyi, çok yakın dostluk veya arkadaşlık kurmak, ahbap olmak</t>
  </si>
  <si>
    <t>Arap saçına dönmek</t>
  </si>
  <si>
    <t>İşlerin çok karışıp içinden çıkılmaz bir durum alması</t>
  </si>
  <si>
    <t>Arayı yapmak</t>
  </si>
  <si>
    <t>rası açık olan iki kişiyi uzlaştırıp, barıştırmak</t>
  </si>
  <si>
    <t>Ar damarı çatlamak</t>
  </si>
  <si>
    <t>Utanç duyulacak şeyleri sıkılmadan yapmak, utanmayı bırakmak, yüzsüz olmak</t>
  </si>
  <si>
    <t>Arı kovanı gibi işlemek</t>
  </si>
  <si>
    <t>Girip çıkanı, gelip gideni çok olmak</t>
  </si>
  <si>
    <t>Arka çıkmak</t>
  </si>
  <si>
    <t>Birilerine karşı, birini korumak; savunmak, kayırmak</t>
  </si>
  <si>
    <t>Arkadan vurmak</t>
  </si>
  <si>
    <t>Kendisine inanan, güvenen bir kimseye gizlice kötülük etmek</t>
  </si>
  <si>
    <t>Armut piş, ağzıma düş</t>
  </si>
  <si>
    <t>Bir işin hiç emek harcamadan olmasını, kendiliğinden hazır olup ayağına gelmesini bekleyenlerin durumu</t>
  </si>
  <si>
    <t>Arpa boyu kadar gitmek</t>
  </si>
  <si>
    <t>Çok az ilerlemek</t>
  </si>
  <si>
    <t>Asıp kesmek</t>
  </si>
  <si>
    <t>İşkence etmek, zalimce tavırlarda bulunmak</t>
  </si>
  <si>
    <t>Askıya almak</t>
  </si>
  <si>
    <t>Geciktirmek, belirsiz olarak ertelemek, bir işi zamanında yapmayıp savsaklamak</t>
  </si>
  <si>
    <t>Aslı astarı olmamak</t>
  </si>
  <si>
    <t>Yalan, asılsız olmak, gerçek payı bulunmamak</t>
  </si>
  <si>
    <t>Astığı astık, kestiği kestik</t>
  </si>
  <si>
    <t>Davranışlarından dolayı kimseye hesap vermeyen, istediği gibi davranan, çok sert kimseler</t>
  </si>
  <si>
    <t>Aşağı tükürsen sakal, yukarı tükürsen bıyık</t>
  </si>
  <si>
    <t>Sakıncalı oluşları eşit olan iki karşıt davranıştan birine karar verememe zorunluluğu</t>
  </si>
  <si>
    <t>Ateş bacayı sarmak</t>
  </si>
  <si>
    <t>Bir iş ya da olay önüne geçilemez, tehlikeli bir durum almak</t>
  </si>
  <si>
    <t>Ateşe atmak</t>
  </si>
  <si>
    <t>Birini çok tehlikeli bir işe bile bile sokmak</t>
  </si>
  <si>
    <t>Ateşle oynamak</t>
  </si>
  <si>
    <t>Çok tehlikeli, zarar verecek bir işin üstüne üstüne gitmek ya da böyle bir işe girişmek</t>
  </si>
  <si>
    <t>Ateş pahası</t>
  </si>
  <si>
    <t>Çok pahalı</t>
  </si>
  <si>
    <t>Ateş püskürmek</t>
  </si>
  <si>
    <t>Çok öfkeli olmak, ağır sözler söylemek</t>
  </si>
  <si>
    <t>Atı alan Üsküdar`ı geçti</t>
  </si>
  <si>
    <t>Fırsat kaçtı, artık yapılacak şey kalmadı</t>
  </si>
  <si>
    <t>Atıp tutmak</t>
  </si>
  <si>
    <t>Kendi gücünü aşacağı işler yapacağını söylemek, abartılı konuşmak, Birisinin arkasından ileri geri konuşmak, kötü sözler etmek</t>
  </si>
  <si>
    <t>Attan inip eşeğe binmek</t>
  </si>
  <si>
    <t>Bulunduğu dereceden, mevkiden, önemli görevden daha aşağı bir yere inmek veya alınmak</t>
  </si>
  <si>
    <t>Avucunu yalamak</t>
  </si>
  <si>
    <t>Umduğunu ele geçirememek, beklediğini elde edememek</t>
  </si>
  <si>
    <t>Ayağı ile gelmek</t>
  </si>
  <si>
    <t>Kendi isteği ile gelmek</t>
  </si>
  <si>
    <t>Ayağına dolaşmak / dolanmak</t>
  </si>
  <si>
    <t>Birisinin yaptığı işe engel olmak</t>
  </si>
  <si>
    <t>Ayağına kapanmak</t>
  </si>
  <si>
    <t>Kendini küçük düşürerek yalvarıp yakarmak</t>
  </si>
  <si>
    <t>ayaklarına kara su inmek</t>
  </si>
  <si>
    <t>Bir yerde ayakta beklemekten veya uzun süre dolaşmaktan çok yorulmak</t>
  </si>
  <si>
    <t>Ayağını çekmek</t>
  </si>
  <si>
    <t>Daha önce gittiği yere artık uğramaz olmak, ilişkiyi ve ilgiyi kesmek</t>
  </si>
  <si>
    <t>Ayağını denk almak</t>
  </si>
  <si>
    <t>Birilerinin kendisine karşı yapacakları muhtemel kötülüklere karşı uyanık davranmak, tedbirli olmak</t>
  </si>
  <si>
    <t>Ayağını kaydırmak</t>
  </si>
  <si>
    <t>Bir yolunu bularak birini bulunduğu işten, mevkiden uzaklaştırmak</t>
  </si>
  <si>
    <t>Ayağının tozuyla</t>
  </si>
  <si>
    <t>Henüz dinlenmeden, yoldan gelir gelmez</t>
  </si>
  <si>
    <t>Ayağını sürümek</t>
  </si>
  <si>
    <t>Verilen bir görevi ağırdan yapmak</t>
  </si>
  <si>
    <t>Ayağını yorganına göre uzatmak</t>
  </si>
  <si>
    <t>Gelirini giderine uydurmak, harcamalarda geliri aşmamak</t>
  </si>
  <si>
    <t>Ayak diremek</t>
  </si>
  <si>
    <t>Bir şeyde ısrar etmek, karşı koymak, kendi kararından vazgeçmemek</t>
  </si>
  <si>
    <t>Ayaklar altına almak</t>
  </si>
  <si>
    <t>Önem verilmesi gereken şeyleri hiçe saymak, çiğnemek</t>
  </si>
  <si>
    <t>Ayakları geri geri gitmek</t>
  </si>
  <si>
    <t>Bir yere istemeye istemeye, gönülsüz gitmek</t>
  </si>
  <si>
    <t>Ayaklı kütüphane</t>
  </si>
  <si>
    <t>Çok şey okumuş, her sorulana cevap veren, çok şey bilen, okudukları aklında kalmış kimse</t>
  </si>
  <si>
    <t>Ayak takımı</t>
  </si>
  <si>
    <t>İşe yaramaz, bilgisiz, görgüsüz, kaba, serseri, değersiz kimselerin bütünü</t>
  </si>
  <si>
    <t>Ayak uydurmak</t>
  </si>
  <si>
    <t>Kendi gidiş ve davranışını başkasınınkine benzetmek</t>
  </si>
  <si>
    <t>Ayak üstü / üzeri</t>
  </si>
  <si>
    <t>Kısa süre içinde, acele olarak</t>
  </si>
  <si>
    <t>Ayıkla pirincin taşını</t>
  </si>
  <si>
    <t>Bir işin oldukça karışık, dolaşık, içinden çıkılması güç olduğu</t>
  </si>
  <si>
    <t>Babasının hayrına</t>
  </si>
  <si>
    <t>Hiçbir çıkar elde etmeden, sadece iyilik olsun diye</t>
  </si>
  <si>
    <t>Bacak kadar</t>
  </si>
  <si>
    <t>Ufak tefek; kısa boylu </t>
  </si>
  <si>
    <t>Bağrına basmak</t>
  </si>
  <si>
    <t>Sevgi gösterip onu koruyuculuğuna almak</t>
  </si>
  <si>
    <t>Bağrı yanık</t>
  </si>
  <si>
    <t>Çok dertli, acılı (kimse).</t>
  </si>
  <si>
    <t>Bahtı açık</t>
  </si>
  <si>
    <t>İşleri yolunda giden; talihi açık, şansı açık</t>
  </si>
  <si>
    <t>Bahtı bağlı olmak</t>
  </si>
  <si>
    <t> İşleri İstediği gibi yürümemek</t>
  </si>
  <si>
    <t>Bahtı kara</t>
  </si>
  <si>
    <t>Talihi kötü olan</t>
  </si>
  <si>
    <t>Baklayı ağzından çıkarmak</t>
  </si>
  <si>
    <t>Gizli tuttuğu şeyleri açıklamak</t>
  </si>
  <si>
    <t>Bal gibi</t>
  </si>
  <si>
    <t>Pekâlâ, adamakıllı</t>
  </si>
  <si>
    <t>Balık istifi</t>
  </si>
  <si>
    <t>Çok sıkışık , üst üste, kalabalık</t>
  </si>
  <si>
    <t>Baltayı taşa vurmak</t>
  </si>
  <si>
    <t>Farkında olmadan karşısındakini rahatsız edecek, kızdıracak söz söylemek</t>
  </si>
  <si>
    <t>Bam teline basmak</t>
  </si>
  <si>
    <t>Bir kimseyi duyarlı olduğu bir konuda kızdıracak söz söylemek, davranışta bulunmak</t>
  </si>
  <si>
    <t>Bana mısın dememek</t>
  </si>
  <si>
    <t>Zorlu bir işe, etkene vb’ye dayanmak, bunlardan hiç etkilenmemek</t>
  </si>
  <si>
    <t>Baston yutmuş gibi</t>
  </si>
  <si>
    <t>Sallanmadan, dimdik</t>
  </si>
  <si>
    <t>Başa baş</t>
  </si>
  <si>
    <t>Eşit, denk</t>
  </si>
  <si>
    <t>Başı çekmek</t>
  </si>
  <si>
    <t>Bir işte ön ayak olmak, bir işin yapılmasında öncü olmak</t>
  </si>
  <si>
    <t>Başı dara düşmek</t>
  </si>
  <si>
    <t>Sıkıntılı bir durum içinde olmak</t>
  </si>
  <si>
    <t>Başı dik</t>
  </si>
  <si>
    <t>Onurlu; onurlu biçimde</t>
  </si>
  <si>
    <t>Başı dumanlı</t>
  </si>
  <si>
    <t>Açık seçik düşünebilecek, karar verebilecek, durum da olmayan</t>
  </si>
  <si>
    <t>Başı göğe ermek</t>
  </si>
  <si>
    <t>Beklenmedik bir anda büyük bir mutluluğa kavuşmak; bundan ötürü çok böbürlenmek</t>
  </si>
  <si>
    <t>Başına buyruk</t>
  </si>
  <si>
    <t>Hiç kimseden izin almak gereğini duymadan, istediği gibi davranan</t>
  </si>
  <si>
    <t>Başına çıkarmak</t>
  </si>
  <si>
    <t>Birinin hoşgörüsünü, yakınlığını fırsat bilip şımarıkça davranmak; tepesine çıkmak</t>
  </si>
  <si>
    <t>Başına çorap örmek</t>
  </si>
  <si>
    <t>Birini kötü duruma düşürmek için gizli plan hazırlamak; çorap örmek</t>
  </si>
  <si>
    <t>Başına kakmak</t>
  </si>
  <si>
    <t>Yaptığı iyiliği, iyilik yaptığı kimsenin yüzüne karşı söyleyerek onu incitmek</t>
  </si>
  <si>
    <t>Başına vur, ağzından lokmasını al</t>
  </si>
  <si>
    <t>Uysal, boyun eğen</t>
  </si>
  <si>
    <t>Başından atmak</t>
  </si>
  <si>
    <t>Rahatsızlık veren, artık sıkıcı olan bir kimseyle ilişkiye son vermek</t>
  </si>
  <si>
    <t>Başından büyük işlere girişmek</t>
  </si>
  <si>
    <t>Bilgi, beceri ve yetkisini aşan işleri yapmak istemek, bunlara yeltenmek</t>
  </si>
  <si>
    <t>Başından (aşağı) kaynar su (sular) dökülmek</t>
  </si>
  <si>
    <t>Üzücü, utandırıcı bir olay, durum karşısında büyük bir sıkıntı duymak</t>
  </si>
  <si>
    <t>Başından savmak</t>
  </si>
  <si>
    <t>Onu herhangi bir bahane ile uzaklaştırmak</t>
  </si>
  <si>
    <t>Başını döndürmek</t>
  </si>
  <si>
    <t>Çok beğenmek, büyük bir ilgi duymak</t>
  </si>
  <si>
    <t>Başının etini yemek</t>
  </si>
  <si>
    <t>Birisinden ısrarla, bıkkınlık verecek ölçüde bir şeyler istemek; kafasının etini yemek</t>
  </si>
  <si>
    <t>Başını şişirmek</t>
  </si>
  <si>
    <t>Çok konuşmak ya da gürültü vb. ederek başının ağrımasına yol açmak</t>
  </si>
  <si>
    <t>Başını taşa vurmak</t>
  </si>
  <si>
    <t>Bir fırsatı kaçırınca ya da başarısızlığa uğrayınca çok üzülmek</t>
  </si>
  <si>
    <t>Başını yakmak </t>
  </si>
  <si>
    <t>Onu tehlikeli bir duruma sokmak, zarar sokmak</t>
  </si>
  <si>
    <t>Başı sıkışmak</t>
  </si>
  <si>
    <t>Herhangi bir güçlükle karşılaşmak</t>
  </si>
  <si>
    <t>Başı sonu belli değil</t>
  </si>
  <si>
    <t>Çok düzensiz, karmakarışık</t>
  </si>
  <si>
    <t>Baş kaldırmak</t>
  </si>
  <si>
    <t>Ayaklanmak, isyan etmek, karşı gelmek</t>
  </si>
  <si>
    <t>Baştan savma</t>
  </si>
  <si>
    <t>Özen göstermeden, gelişigüzel bir biçimde yapılan</t>
  </si>
  <si>
    <t>Bel bağlamak</t>
  </si>
  <si>
    <t>Ona güvenmek, inanmak</t>
  </si>
  <si>
    <t>Belini doğrultmak</t>
  </si>
  <si>
    <t>İşlerini düzene koymak</t>
  </si>
  <si>
    <t>Benzi atmak</t>
  </si>
  <si>
    <t>Korkudan ya da heyecandan yüzü sararmak</t>
  </si>
  <si>
    <t>Beş para etmez</t>
  </si>
  <si>
    <t>Hiçbir değeri yok</t>
  </si>
  <si>
    <t>Beş paralık olmak</t>
  </si>
  <si>
    <t>Ayıpları ortaya döküldüğü için küçük düşmek</t>
  </si>
  <si>
    <t>Beş parasız</t>
  </si>
  <si>
    <t>Yoksul, parasız</t>
  </si>
  <si>
    <t>Beyninden vurulmuşa dönmek</t>
  </si>
  <si>
    <t>Kötü bir haber alıp, hiçbir şey düşünmeyecek duruma gelmek</t>
  </si>
  <si>
    <t>Beyni sulanmak</t>
  </si>
  <si>
    <t>sağlıklı düşünebilme gücünü yitirmek</t>
  </si>
  <si>
    <t>Bıçak kemiğe dayanmak</t>
  </si>
  <si>
    <t>Sıkıntı, zahmet, artık dayanılamayacak bir duruma gelmek</t>
  </si>
  <si>
    <t>Bıçak sırtı</t>
  </si>
  <si>
    <t> Çok az fark, zaman</t>
  </si>
  <si>
    <t>Bıyık altında gülmek</t>
  </si>
  <si>
    <t>Birinin içinde bulunduğu duruma alay ederek, belli etmeden gülmek</t>
  </si>
  <si>
    <t>Biçilmiş kaftan</t>
  </si>
  <si>
    <t>Bir işe, kimseye en uygun , en elverişli olan</t>
  </si>
  <si>
    <t>Bildiğini okumak</t>
  </si>
  <si>
    <t>Başkalarının sözüne kulak asmadan istediği gibi davranmak</t>
  </si>
  <si>
    <t>Bileğinin hakkıyla</t>
  </si>
  <si>
    <t>Kendi çalışması ve gücüyle.</t>
  </si>
  <si>
    <t>Bin dereden su getirmek</t>
  </si>
  <si>
    <t>Birini kandırmak için bir yığın gerekçe ileri sürmek, aldatıcı sözler söylemek</t>
  </si>
  <si>
    <t>Bindiği dalı kesmek</t>
  </si>
  <si>
    <t>Yarar sağladığı bir şeyi ortadan kaldırmak, kendisi için zararlı duruma getirmek</t>
  </si>
  <si>
    <t>Bir arpa boyu yol gitmek</t>
  </si>
  <si>
    <t>Önemsiz denecek kadar az ilerleme sağlamak</t>
  </si>
  <si>
    <t>Bir ayağı çukurda</t>
  </si>
  <si>
    <t>Çok yaşlanmış, ölüme epeyce yakın</t>
  </si>
  <si>
    <t>Bir baltaya sap olmak</t>
  </si>
  <si>
    <t>Belirli bir iş tutmak, bir meslek sahibi olmak</t>
  </si>
  <si>
    <t>Bir bardak suda fırtına koparmak</t>
  </si>
  <si>
    <t>Önemsiz denecek kadar küçük bir sorunu büyütüp, kavga konusu yapmak</t>
  </si>
  <si>
    <t>Bir çuval inciri berbat etmek</t>
  </si>
  <si>
    <t>Yolunda giden bir işi, yanlış bir hareketle ya da sözle bozmak</t>
  </si>
  <si>
    <t>Bir dediğini iki etmemek</t>
  </si>
  <si>
    <t>her istediğini yerine getirmek</t>
  </si>
  <si>
    <t>Bir deri bir kemik</t>
  </si>
  <si>
    <t>Vücutça çok zayıf</t>
  </si>
  <si>
    <t>Bir eli yağda bir eli balda</t>
  </si>
  <si>
    <t>Zenginlik, bolluk içinde</t>
  </si>
  <si>
    <t>Bir iğne bir iplik kalmak</t>
  </si>
  <si>
    <t>Bir üzüntü, hastalık vb. nedeniyle çok zayıflamak</t>
  </si>
  <si>
    <t>Bir kaşık suda boğmak</t>
  </si>
  <si>
    <t>Bir kimseye çok kızmak; kin duymak</t>
  </si>
  <si>
    <t>Bir kulağından girip öteki kulağından çıkmak</t>
  </si>
  <si>
    <t>Söylenilenlere önem vermemek, hiç uymamak, onları dikkate almamak</t>
  </si>
  <si>
    <t>Bir tahtası eksik</t>
  </si>
  <si>
    <t>Pek akıllı olmayan</t>
  </si>
  <si>
    <t>Bir taşla iki kuş vurmak</t>
  </si>
  <si>
    <t>Bir davranışla, yararlı iki sonuç elde etmek</t>
  </si>
  <si>
    <t>Bir yaşına daha girmek</t>
  </si>
  <si>
    <t>Şaşılacak yepyeni bir durumla karşılaşmak</t>
  </si>
  <si>
    <t>Boğazına düğümlenmek</t>
  </si>
  <si>
    <t>Heyecan, korku, vb. yüzünden söyleyeceklerini söylememek</t>
  </si>
  <si>
    <t>Boğazından kesmek</t>
  </si>
  <si>
    <t>Para arttırmak için yiyeceğinden kısıntı yapmak</t>
  </si>
  <si>
    <t>Bol keseden</t>
  </si>
  <si>
    <t>Ölçüsüz olarak</t>
  </si>
  <si>
    <t>Bol keseden atmak</t>
  </si>
  <si>
    <t>Yerine getirilmesi güç vaatler bulunmak</t>
  </si>
  <si>
    <t>Borç harç</t>
  </si>
  <si>
    <t>Borçlanarak, borca girerek</t>
  </si>
  <si>
    <t>Borusu ötmek</t>
  </si>
  <si>
    <t>Nüfuzu olmak, sözü dinlenmek, sözü geçmek</t>
  </si>
  <si>
    <t>Boş atıp dolu tutmak</t>
  </si>
  <si>
    <t>Umutsuz gibi görünen bir işten olumlu sonuç almak</t>
  </si>
  <si>
    <t>Boş bulunmak</t>
  </si>
  <si>
    <t>Dikkatsiz ve dalgın bir durumda bulunmak</t>
  </si>
  <si>
    <t>Boş gezenin boş kalfası</t>
  </si>
  <si>
    <t>İşsiz güçsüz dolaşan kimse</t>
  </si>
  <si>
    <t>Boş vermek</t>
  </si>
  <si>
    <t>önem vermemek, aldırmamak</t>
  </si>
  <si>
    <t>Boy göstermek</t>
  </si>
  <si>
    <t>Gösteriş olsun diye ortalıkta görünmek</t>
  </si>
  <si>
    <t>Boynu bükük</t>
  </si>
  <si>
    <t>Acınacak, zavallı kimse</t>
  </si>
  <si>
    <t>Boynum kıldan ince</t>
  </si>
  <si>
    <t>Haksız olduğum anlaşılırsa, verilecek her ceza ya boyun eğeceğim</t>
  </si>
  <si>
    <t>Boynunun borcu</t>
  </si>
  <si>
    <t>Bir kişinin yapmak zorunda olduğu iş</t>
  </si>
  <si>
    <t>Boynuz isterken kulaktan olmak</t>
  </si>
  <si>
    <t>Daha iyi bir şey elde etmek isterken elindekini de yitirmek</t>
  </si>
  <si>
    <t>Boyundan büyük işlere kalkışmak</t>
  </si>
  <si>
    <t>Başaramayacağı işlere kalkışmak</t>
  </si>
  <si>
    <t>Boyun eğmek</t>
  </si>
  <si>
    <t>Güçlü birinin isteğini zorla ya da istemeyerek kabul etmek</t>
  </si>
  <si>
    <t>Boyunun ölçüsünü almak</t>
  </si>
  <si>
    <t>Giriştiği bir işte başarısızlığa uğrayıp beceriksizliğini ya da yetersizliğini anlamak</t>
  </si>
  <si>
    <t>Bozuk para gibi harcamak</t>
  </si>
  <si>
    <t>Bir kimsenin değerini sıfıra indirmek, onu başkalarının yanında küçük düşürmek</t>
  </si>
  <si>
    <t>Bozuntuya vermemek</t>
  </si>
  <si>
    <t>Olup bitenleri anlamamış, görmemiş, söylenenleri duymamış gibi davranmak, durumu İdare etmek</t>
  </si>
  <si>
    <t>Bulunmaz Hint kumaşı</t>
  </si>
  <si>
    <t>Az bulunur, çok değerli bir şey ya da kimse</t>
  </si>
  <si>
    <t>Buluttan nem kapmak</t>
  </si>
  <si>
    <t>En küçük bir şeyden bile alınmak, çok alıngan olmak</t>
  </si>
  <si>
    <t>Bu ne perhiz, bu ne lahana turşusu</t>
  </si>
  <si>
    <t>Sözleri ve davranışları birbirini tutmuyor</t>
  </si>
  <si>
    <t>Burnundan getirmek</t>
  </si>
  <si>
    <t>Birini bir şeyi yaptığına yapacağına pişman etmek</t>
  </si>
  <si>
    <t>Burnundan kıl aldırmamak</t>
  </si>
  <si>
    <t>Kendisine hiçbir söz söyletmemek, huysuz ve gururlu olmak, eleştiriye tahammülü olmamak</t>
  </si>
  <si>
    <t>Burnundan solumak</t>
  </si>
  <si>
    <t>Çok öfkelenmek, sinirlenmek</t>
  </si>
  <si>
    <t>Burnunda tütmek</t>
  </si>
  <si>
    <t>çok özlemek, istemek, aramak</t>
  </si>
  <si>
    <t>Burnunun dikine gitmek</t>
  </si>
  <si>
    <t>Başkalarının öğütlerine kulak asmayıp kendi bildiği gibi davranmak</t>
  </si>
  <si>
    <t>Burnunu sokmak</t>
  </si>
  <si>
    <t>Kendisini ilgilendirmeyen işe karışmak</t>
  </si>
  <si>
    <t>Burun kıvırmak</t>
  </si>
  <si>
    <t>beğenmemek, küçümsemek</t>
  </si>
  <si>
    <t>Buz üstüne yazı yazmak</t>
  </si>
  <si>
    <t>Süresi ve etkisi pek az olan bir iş yapmak, sözleri etkisiz kalmak</t>
  </si>
  <si>
    <t>Cadı kazanı</t>
  </si>
  <si>
    <t>Fesadın ve dedikodunun çok olduğu</t>
  </si>
  <si>
    <t>Caka satmak</t>
  </si>
  <si>
    <t>Çalım satmak, gösteriş yapmak</t>
  </si>
  <si>
    <t>Can atmak</t>
  </si>
  <si>
    <t>Çok istemek, çok arzulamak</t>
  </si>
  <si>
    <t>Can damarı</t>
  </si>
  <si>
    <t>Bir şeyin en önemli noktası, en mühim unsuru</t>
  </si>
  <si>
    <t>Can evinden vurmak</t>
  </si>
  <si>
    <t>En etkileyici, en can alıcı yönden saldırmak</t>
  </si>
  <si>
    <t>Can kulağıyla dinlemek</t>
  </si>
  <si>
    <t>Kendini vererek, büyük bir dikkatle dinlemek</t>
  </si>
  <si>
    <t>Can pazarı</t>
  </si>
  <si>
    <t>Herkesin kendi canının kaygısına düştüğü ve kendi canını kurtarmaya çalıştığı tehlikeli bir durum, yer</t>
  </si>
  <si>
    <t>Cana can katmak</t>
  </si>
  <si>
    <t>İnsanda yaşama sevincini artırmak; insana neşe, heves ve iç gücü vermek</t>
  </si>
  <si>
    <t>Canı çıkmak</t>
  </si>
  <si>
    <t>Çok yorulmak</t>
  </si>
  <si>
    <t>Canına okumak</t>
  </si>
  <si>
    <t>Bir kimseye büyük bir zarar vermek, kötülük etmek</t>
  </si>
  <si>
    <t>Canına tak demek</t>
  </si>
  <si>
    <t>Sabrı kalmamak, bir sıkıntıya dayanamaz duruma gelmek</t>
  </si>
  <si>
    <t>Canını dişine takmak</t>
  </si>
  <si>
    <t>Büyük sıkıntıları, tehlikeleri göze alarak bir işi başarmaya çalışmak</t>
  </si>
  <si>
    <t>Canı tatlı</t>
  </si>
  <si>
    <t>Acıya, üzüntüye ve sıkıntıya katlanmayan</t>
  </si>
  <si>
    <t>Canı tez</t>
  </si>
  <si>
    <t>Sabırsız, beklemeye tahammülü olmayan</t>
  </si>
  <si>
    <t>Cebi delik</t>
  </si>
  <si>
    <t>Parasız, cebinde para tutmasını bilmeyen</t>
  </si>
  <si>
    <t>Ciğeri beş para etmemek</t>
  </si>
  <si>
    <t>Değersiz, kendisine güvenilmez, korkak, aşağılık</t>
  </si>
  <si>
    <t>Ciğerimin köşesi</t>
  </si>
  <si>
    <t>Çok sevdiğim</t>
  </si>
  <si>
    <t>Ciğerini okumak</t>
  </si>
  <si>
    <t>Karşısındakinin gizli düşüncelerini bilmek, aklından geçenleri anlamak</t>
  </si>
  <si>
    <t>Cin fikirli</t>
  </si>
  <si>
    <t>Zeki, çok kurnaz, her zaman kendi çıkarını kollayan, çok anlayışlı</t>
  </si>
  <si>
    <t>Cümbür cemaat</t>
  </si>
  <si>
    <t>Topluca, hep birden</t>
  </si>
  <si>
    <t>Çakı gibi</t>
  </si>
  <si>
    <t>Canlı ve atik, çevik</t>
  </si>
  <si>
    <t>Çam devirmek</t>
  </si>
  <si>
    <t>Farkında olmadan karşısındakini kıracak ya da kötü bir sonuca yol açacak söz söylemek, davranışta bulunmak</t>
  </si>
  <si>
    <t>Çanak tutmak</t>
  </si>
  <si>
    <t>Söz ve davranışlarıyla kavgaya, kargaşaya yol açmak</t>
  </si>
  <si>
    <t>Çantada keklik</t>
  </si>
  <si>
    <t>Ele geçirilmesi o kadar kesin ki elde edilmiş sayılır</t>
  </si>
  <si>
    <t>Çar çur etmek</t>
  </si>
  <si>
    <t>Gereksiz, lüzumsuz yere harcayıp tüketmek</t>
  </si>
  <si>
    <t>Çarşaf gibi</t>
  </si>
  <si>
    <t>Dalgasız, dümdüz ve durgun</t>
  </si>
  <si>
    <t>Çat kapı</t>
  </si>
  <si>
    <t>Aniden, beklenmedik bir anda</t>
  </si>
  <si>
    <t>Çekip çevirmek</t>
  </si>
  <si>
    <t>Yönetmek, düzene sokmak, hâle yola koymak, çalışmasını sağlamak</t>
  </si>
  <si>
    <t>Çene çalmak</t>
  </si>
  <si>
    <t>Gevezelik ederek, çok konuşarak vakit geçirmek</t>
  </si>
  <si>
    <t>Çene yarıştırmak</t>
  </si>
  <si>
    <t>Karşılıklı gevezelik etmek, boş konuşmak</t>
  </si>
  <si>
    <t>Çetin ceviz</t>
  </si>
  <si>
    <t>Yola getirilmesi, yenilmesi zor rakip</t>
  </si>
  <si>
    <t>Çığırından çıkmak</t>
  </si>
  <si>
    <t>Yoldan sapmak, doğru ve uygun gidişten ayrılmak, artık düzelemez hâle gelmek</t>
  </si>
  <si>
    <t>Çıngar çıkarmak</t>
  </si>
  <si>
    <t>Gürültü patırtı, karışıklık ve kavga çıkarmak</t>
  </si>
  <si>
    <t>Çıt çıkarmamak</t>
  </si>
  <si>
    <t>Çok sessiz olmak, hiç ses çıkarmamak, gürültü yapmamak</t>
  </si>
  <si>
    <t>Çiçeği burnunda</t>
  </si>
  <si>
    <t>Çok taze, acemi</t>
  </si>
  <si>
    <t>Çileden çıkmak</t>
  </si>
  <si>
    <t>Çok öfkelenmek, olan bitenler karşısında dayanıklılığı kalmayıp taşkınlık göstermek</t>
  </si>
  <si>
    <t>Çorap söküğü gibi gitmek</t>
  </si>
  <si>
    <t>Başlayan bir işin birbirine bağlı diğer bölümlerinin kolaylıkla halledilmesi</t>
  </si>
  <si>
    <t>Çorbada tuzu bulunmak</t>
  </si>
  <si>
    <t>Yapılan bir iş ya da hizmette az da olsa çabası, emeği bulunmak</t>
  </si>
  <si>
    <t>Çürük tahtaya basmak</t>
  </si>
  <si>
    <t>Tedbirsiz hareket edip, kötü sonuçlanacak bir işe girişmek</t>
  </si>
  <si>
    <t>Dağ devirmek</t>
  </si>
  <si>
    <t>Çok zor görünen işleri başarmak</t>
  </si>
  <si>
    <t>Dağdan gelip bağdakini kovmak</t>
  </si>
  <si>
    <t>Daha sonradan geldiği bir yere ya da karıştığı bir işte eskiden beri bulunan bir kişinin yerini almaya çalışmak</t>
  </si>
  <si>
    <t>Dalavere çevirmek</t>
  </si>
  <si>
    <t>Yalan, dolan ve hile ile kötü bir iş yapmak</t>
  </si>
  <si>
    <t>Daldan dala konmak</t>
  </si>
  <si>
    <t>Çok sık, düşünce ya da konu değiştirmek</t>
  </si>
  <si>
    <t>Dalına basmak</t>
  </si>
  <si>
    <t>Hiç hoşlanmadığı şeyleri yaparak birisini öfkelendirmek</t>
  </si>
  <si>
    <t>Dallanıp budaklanmak</t>
  </si>
  <si>
    <t>Genişleyip yayılmak, gittikçe büyüyerek karışık bir durum almak</t>
  </si>
  <si>
    <t>Damdan düşer gibi</t>
  </si>
  <si>
    <t>Aniden, yersiz olarak</t>
  </si>
  <si>
    <t>Dananın kuyruğu kopmak</t>
  </si>
  <si>
    <t>Olay patlak vermek, beklenen ve korkulan sonucun gerçekleşmesi</t>
  </si>
  <si>
    <t>Dara düşmek</t>
  </si>
  <si>
    <r>
      <rPr>
        <b/>
        <sz val="11"/>
        <color rgb="FF222222"/>
        <rFont val="Times New Roman"/>
      </rPr>
      <t> </t>
    </r>
    <r>
      <rPr>
        <sz val="11"/>
        <color rgb="FF222222"/>
        <rFont val="Times New Roman"/>
      </rPr>
      <t>Paraca sıkıntıya uğramak</t>
    </r>
  </si>
  <si>
    <t>Dar boğaz</t>
  </si>
  <si>
    <t>Sıkıntılar ve güçlükler içinde geçirilen, geçici kabul edilip sonunda ferahlık umulan durum</t>
  </si>
  <si>
    <t>Darda kalmak</t>
  </si>
  <si>
    <t>Dar kafalı</t>
  </si>
  <si>
    <t>nlayışı, kavrayışı az; yeniliklere açık olmayan</t>
  </si>
  <si>
    <t>Defterden silmek</t>
  </si>
  <si>
    <t>İlişkisini kesmek, yok saymak, adını anmaz olmak, unutmak</t>
  </si>
  <si>
    <t>Defteri dürülmek</t>
  </si>
  <si>
    <t> İşine son verilerek bir yerden uzaklaştırılmak</t>
  </si>
  <si>
    <t>Defteri kapamak</t>
  </si>
  <si>
    <t>İlgiyi kesmek, uğraşmaz olmak, söz konusu işi yapmaz olmak</t>
  </si>
  <si>
    <t>Deli fişek</t>
  </si>
  <si>
    <t>Atak, delişmen, delice işler yapan, şımarık</t>
  </si>
  <si>
    <t>Deliksiz uyku</t>
  </si>
  <si>
    <t>Hiç uyanmadan, çok rahat, uzun süre uyunulan uyku</t>
  </si>
  <si>
    <t>Demir atmak</t>
  </si>
  <si>
    <t>Bir yerde uzun süre kalmak</t>
  </si>
  <si>
    <t>Denizden çıkmış balığa dönmek</t>
  </si>
  <si>
    <t>Yeni bir işe, ortama, duruma alışmakta zorluk çekmek</t>
  </si>
  <si>
    <t>Deveye hendek atlatmak</t>
  </si>
  <si>
    <t>Birisine yapılması çok zor, hemen hemen yapamayacağı bir işi yaptırmaya çalışmak</t>
  </si>
  <si>
    <t>Devlet kuşu</t>
  </si>
  <si>
    <t>Umulmadık, iyi talih; zenginlik, mutluluk getiren talih</t>
  </si>
  <si>
    <t>Dışı seni yakar, içi beni</t>
  </si>
  <si>
    <t>Dıştan görünüşü, herkesi imrendirecek kadar güzel ama içyüzü elverişsiz, kötü, sahibini üzücü</t>
  </si>
  <si>
    <t>Diken üstünde oturmak</t>
  </si>
  <si>
    <t>Bir yerde tedirginlik duymak, her an kalkmak durumunu belirtir olmak, huzursuz olmak</t>
  </si>
  <si>
    <t>Dikiş tutturamamak</t>
  </si>
  <si>
    <t>Bir yerde, bir işte bir sebepten ötürü başarı sağlayamayıp uzun süre kalmamak</t>
  </si>
  <si>
    <t>Dil dökmek</t>
  </si>
  <si>
    <t>Kandırmak, inandırmak ya da yararlanmak için tatlı sözler söylemek</t>
  </si>
  <si>
    <t>Dil uzatmak</t>
  </si>
  <si>
    <t>Bir kimse veya bir şey için kötü söz söylemek</t>
  </si>
  <si>
    <t>Dillere düşmek</t>
  </si>
  <si>
    <t>Hakkında dedikodu yapılmak</t>
  </si>
  <si>
    <t>Dile kolay</t>
  </si>
  <si>
    <t>Söylenmesi kolay ama yapılması ortaya konması ya da katlanılması çok güç</t>
  </si>
  <si>
    <t>Dili tutulmak</t>
  </si>
  <si>
    <t>Herhangi bir sebepten ötürü söz söyleyemez duruma gelmek</t>
  </si>
  <si>
    <t>Dili uzun</t>
  </si>
  <si>
    <t>İncitici, kırıcı sözler söyleyen, saygısız kimse</t>
  </si>
  <si>
    <t>Dili varmamak</t>
  </si>
  <si>
    <t>Bir sözü söylemeye gönlü razı olmamak</t>
  </si>
  <si>
    <t>Dilinden kurtulamamak</t>
  </si>
  <si>
    <t>Yaptığı bir kabahatten ötürü sürekli olarak, bir kimsenin sitem, eleştiri ve sataşmalarına uğramak</t>
  </si>
  <si>
    <t>Dilinde tüy bitmek</t>
  </si>
  <si>
    <t>Sık sık söylemekten bıkmak, usanmak</t>
  </si>
  <si>
    <t>Dilinin ucuna gelmek</t>
  </si>
  <si>
    <t>Hatırladığı şeyi söyleyecekken yine unutuvermek</t>
  </si>
  <si>
    <t>Dilini tutmak</t>
  </si>
  <si>
    <t>Sonunu düşünerek gelişigüzel konuşmaktan sakınmak, ölçülü konuşmak, rast gele konuşmamak</t>
  </si>
  <si>
    <t>Diline pelesenk etmek</t>
  </si>
  <si>
    <t>Bir sözü her zaman, yerli yersiz tekrarlamak</t>
  </si>
  <si>
    <t>Dinden imandan çıkmak</t>
  </si>
  <si>
    <t>Çok sinirlenmek, öfkelenmek, kızgınlık duymak</t>
  </si>
  <si>
    <t>Dini bütün</t>
  </si>
  <si>
    <t>Dinin emirlerini eksiksiz yerine getirmeye çalışan, inancı sağlam olan, dinine çok bağlı</t>
  </si>
  <si>
    <t>Dirsek çürütmek</t>
  </si>
  <si>
    <t>Okumak, öğrenim görmek için uzun yıllar çalışmak</t>
  </si>
  <si>
    <t>Diş bilemek</t>
  </si>
  <si>
    <t>Öç almak, kötülük yapmak için fırsat kollamak; öfkesini gösterir durum almak</t>
  </si>
  <si>
    <t>Diş geçirememek</t>
  </si>
  <si>
    <t>Etkisiz kalmak, güç yetirememek, hükmünü yürütüp sözünü dinletememek</t>
  </si>
  <si>
    <t>Dişe dokunur</t>
  </si>
  <si>
    <t>Hatırı sayılır, işe yarar, belirtilmeye değer, önemli</t>
  </si>
  <si>
    <t>Dişinden tırnağından artırmak</t>
  </si>
  <si>
    <t>Yiyeceğinden, içeceğinden vb. ihtiyaçlarından keserek zorla biriktirmek</t>
  </si>
  <si>
    <t>Dişine göre</t>
  </si>
  <si>
    <t>Yapabileceği, gücünün yeteceği, becerebileceği, uygun bir durumda</t>
  </si>
  <si>
    <t>Dişini sıkmak</t>
  </si>
  <si>
    <t>Darlığa, sıkıntıya dayanmak; her türlü zorluğa katlanmak</t>
  </si>
  <si>
    <t>Dize getirmek</t>
  </si>
  <si>
    <t>Kendisine karşı geleni alt ederek buyruğunu dinler duruma getirmek, boyun eğdirmek</t>
  </si>
  <si>
    <t>Dizginleri ele almak</t>
  </si>
  <si>
    <t>Yönetimi ele geçirmek, işi kendisi yönetmeye başlamak</t>
  </si>
  <si>
    <t>Dizini dövmek</t>
  </si>
  <si>
    <t>Çok pişman olmak</t>
  </si>
  <si>
    <t>Dizinin bağı çözülmek</t>
  </si>
  <si>
    <t>Korkudan, heyecandan, yorgunluktan ayakta duramayacak hâle gelmek</t>
  </si>
  <si>
    <t>Dokuz doğurmak</t>
  </si>
  <si>
    <t>Merakla, heyecanla, sabırsızlıkla, sıkıntı çekerek beklemek</t>
  </si>
  <si>
    <t>Dolap çevirmek</t>
  </si>
  <si>
    <t>Hile, düzen ve dalavere ile iş yapmak</t>
  </si>
  <si>
    <t>Dolu dizgin</t>
  </si>
  <si>
    <t>Önüne geçilemeyecek biçimde, çok fazla olarak</t>
  </si>
  <si>
    <t>Doluya koydum almadı, boşa koydum dolmadı</t>
  </si>
  <si>
    <t>İçinden çıkılamayan güç bir durum</t>
  </si>
  <si>
    <t>Dostlar alışverişte görsün</t>
  </si>
  <si>
    <t>Gösteriş olsun; amaç iş yapıyor görünmek, iş yapmak değil</t>
  </si>
  <si>
    <t>Dört ayak üstüne düşmek</t>
  </si>
  <si>
    <t>Tehlikeli bir durumdan hiç zarar görmeden kurtulmak</t>
  </si>
  <si>
    <t>Dört dönmek</t>
  </si>
  <si>
    <t>Bir işi yapmak için korku, heyecan, telâş, şaşkınlık içinde sağa sola koşmak, çare aramak</t>
  </si>
  <si>
    <t>Dört elle sarılmak</t>
  </si>
  <si>
    <t>Yapacağı işe büyük bir önem verip özen göstererek girişmek</t>
  </si>
  <si>
    <t>Dört gözle beklemek</t>
  </si>
  <si>
    <t>Özleyerek, çok isteyerek, büyük bir sabırsızlıkla beklemek</t>
  </si>
  <si>
    <t>Dudak bükmek</t>
  </si>
  <si>
    <t>Umursamamak, beğenmemek, küçümsemek</t>
  </si>
  <si>
    <t>Dudak ısırtmak</t>
  </si>
  <si>
    <t>Hayran bırakmak</t>
  </si>
  <si>
    <t>Dumanı üstünde</t>
  </si>
  <si>
    <t>Çok taze</t>
  </si>
  <si>
    <t>Dut yemiş bülbüle dönmek</t>
  </si>
  <si>
    <t>Susmak; konuşkanlığını, sevincini, neşesini yitirmek; sesi çıkmaz olmak</t>
  </si>
  <si>
    <t>Düğün evi gibi</t>
  </si>
  <si>
    <t>Çok kalabalık ve telâşlı görülen yer</t>
  </si>
  <si>
    <t>Dümen çevirmek</t>
  </si>
  <si>
    <t>Düzen kurup, hileli iş yapmak</t>
  </si>
  <si>
    <t>Dünya başına yıkılmak</t>
  </si>
  <si>
    <t>Dara düşmek, felâkete uğramak, umutlarını yitirmek</t>
  </si>
  <si>
    <t>Dünya gözü ile</t>
  </si>
  <si>
    <t>Ölmeden önce, yaşarken</t>
  </si>
  <si>
    <t>Dünyalar onun olmak</t>
  </si>
  <si>
    <t>Oldukça çok sevinmek</t>
  </si>
  <si>
    <t>Dünyanın kaç bucak olduğunu anlamak</t>
  </si>
  <si>
    <t>Dünyada insanın başına neler gelebileceğini öğrenmek, zorluklarla karşılaşmak, tecrübe kazanmak</t>
  </si>
  <si>
    <t>Dünyanın öbür ucu</t>
  </si>
  <si>
    <t>Çok uzak yer</t>
  </si>
  <si>
    <t>Dünyayı toz pembe görmek</t>
  </si>
  <si>
    <t>İyimser olmak, üzücü durumlara bile iyi gözle bakmak</t>
  </si>
  <si>
    <t>Düşe kalka</t>
  </si>
  <si>
    <t>İşi kimi zaman iyi, kimi zaman kötü olarak güçlükle, uğraşa uğraşa (yapmak)</t>
  </si>
  <si>
    <t>Düşman çatlatmak</t>
  </si>
  <si>
    <t>Nisbet yapmak, iyi durum ve başarılarıyla düşmanı kızdırmak ve kıskandırmak</t>
  </si>
  <si>
    <t>Ecel teri dökmek</t>
  </si>
  <si>
    <t>Çok korkmak, heyecan içinde bulunup terlemek, korku ve bunalım içinde olmak</t>
  </si>
  <si>
    <t>Eceline susamak</t>
  </si>
  <si>
    <t>Ölümüne yol açacak kadar tehlikeli işlere girişmek</t>
  </si>
  <si>
    <t>Eciş bücüş</t>
  </si>
  <si>
    <t>Çarpuk çurpuk, eğri büğrü, düzgün yanı olmayan, çirkin bir biçim almış bulunan</t>
  </si>
  <si>
    <t>Efkâr dağıtmak</t>
  </si>
  <si>
    <t>Sıkıntıyı gidermek, üzüntüyü yok etmeye çalışmak</t>
  </si>
  <si>
    <t>Ekmeğinden etmek</t>
  </si>
  <si>
    <t>İşinden çıkarmak veya atmak</t>
  </si>
  <si>
    <t>Ekmeğine yağ sürmek</t>
  </si>
  <si>
    <t>Birinin yararına göre eylemde bulunmak, istemese de birinin işine yarayacak biçimde hareket etmek</t>
  </si>
  <si>
    <t>Ekmeğini kazanmak</t>
  </si>
  <si>
    <t>Geçimini temin edecek, ihtiyaçlarını karşılayacak parayı kazanmak</t>
  </si>
  <si>
    <t>Ekmeğini taştan çıkarmak</t>
  </si>
  <si>
    <t>En zor işleri bile yapıp geçimini sağlayacak becerilikte olmak, her türlü işi yapmak</t>
  </si>
  <si>
    <t>Ekmek elden su gölden</t>
  </si>
  <si>
    <t>Kendisi kazanmayıp başkalarının kazancı ile geçinen</t>
  </si>
  <si>
    <t> Ortalıkta kimse kalmamak, ıssızlaşıp sessizleşmek</t>
  </si>
  <si>
    <t>Çalışıp para kazanılan, geçim sağlayan iş yeri</t>
  </si>
  <si>
    <t>Ekmek parası</t>
  </si>
  <si>
    <t>Kazanç, geçinmek için kazanılan para</t>
  </si>
  <si>
    <t>Eksik gedik</t>
  </si>
  <si>
    <t>Ufak tefek ihtiyaçlar</t>
  </si>
  <si>
    <t>El açmak</t>
  </si>
  <si>
    <t>Dilenmek</t>
  </si>
  <si>
    <t>El altından</t>
  </si>
  <si>
    <t>Kimsenin haberi olmadan, gizlice</t>
  </si>
  <si>
    <t>El atmak</t>
  </si>
  <si>
    <t>Bir işe girişmek</t>
  </si>
  <si>
    <t>El ayak çekilmek</t>
  </si>
  <si>
    <t>Elde avuçta bir şey kalmamak</t>
  </si>
  <si>
    <t>Parasını, malını, tüm varlığını harcayıp bitirmiş olmak</t>
  </si>
  <si>
    <t>Elde etmek</t>
  </si>
  <si>
    <t>Bir şeye sahip olmak</t>
  </si>
  <si>
    <t>Elden ayaktan düşmek</t>
  </si>
  <si>
    <t>Yaşlılık, hastalık sebebiyle iş yapamaz, yürüyemez, kendi işini göremez duruma gelmek</t>
  </si>
  <si>
    <t>Elden geçirmek</t>
  </si>
  <si>
    <t>Eksiklikleri düzeltmek, onarmak; denetlemek için pek çok şeyi ele alıp yoklamak, gözden geçirmek</t>
  </si>
  <si>
    <t>Ele avuca sığmamak</t>
  </si>
  <si>
    <t>Söz dinlememek, kural tanımamak, zapt edilememek</t>
  </si>
  <si>
    <t>Ele vermek</t>
  </si>
  <si>
    <t>Bulunduğu yeri haber vererek suçluyu yakalatmak</t>
  </si>
  <si>
    <t>Eli açık</t>
  </si>
  <si>
    <t>Cömert</t>
  </si>
  <si>
    <t>Eli ağır</t>
  </si>
  <si>
    <t>Oldukça yavaş iş yapan</t>
  </si>
  <si>
    <t>Eli altında olmak</t>
  </si>
  <si>
    <t>İstediği anda ele alıp kullanabileceği bir yerde bulunmak</t>
  </si>
  <si>
    <t>Eli ayağı buz kesilmek</t>
  </si>
  <si>
    <t>Korku, heyecan ve üzüntüden ne yapacağını bilemez duruma gelmek, donup kalmak</t>
  </si>
  <si>
    <t>Eli ayağı tutmak</t>
  </si>
  <si>
    <t>İş yapabilecek güçte olmak, bedenî gücü var olmak</t>
  </si>
  <si>
    <t>Eli bol</t>
  </si>
  <si>
    <t>Cömert, esirgemeyen, çok para ve eşyası olan</t>
  </si>
  <si>
    <t>Eli boş dönmek</t>
  </si>
  <si>
    <t>Umduğunu alamadan geri dönmek</t>
  </si>
  <si>
    <t>Eli çabuk</t>
  </si>
  <si>
    <t>Süratli iş gören</t>
  </si>
  <si>
    <t>Eli darda</t>
  </si>
  <si>
    <t>Geçimi için para sıkıntısı çeken</t>
  </si>
  <si>
    <t>Eli hafif</t>
  </si>
  <si>
    <t>İncitmeden, can yakmadan iş gören</t>
  </si>
  <si>
    <t>Elinden tutmak</t>
  </si>
  <si>
    <t>Destek olmak, ilerlemesi için yardımda bulunmak</t>
  </si>
  <si>
    <t>Eline düşmek</t>
  </si>
  <si>
    <t>Birine muhtaç olmak</t>
  </si>
  <si>
    <t>Elini çabuk tutmak</t>
  </si>
  <si>
    <t>Hızlı davranmak, acele etmek</t>
  </si>
  <si>
    <t>Elini kana bulamak</t>
  </si>
  <si>
    <t>Birini öldürmek veya yaralamak</t>
  </si>
  <si>
    <t>Elini kolunu sallaya sallaya gezmek</t>
  </si>
  <si>
    <t>Pervasızca, çekinmeden, kimseden korkmadan dolaşmak</t>
  </si>
  <si>
    <t>Elini sıcak sudan soğuk suya sokmamak</t>
  </si>
  <si>
    <t>Çok nazlı olmak, evde hiçbir iş yapmamak, zor işlerden kaçınmak</t>
  </si>
  <si>
    <t>Eli sıkı</t>
  </si>
  <si>
    <t>Kolay para harcamayan, cimri, çok tutumlu</t>
  </si>
  <si>
    <t>Eli uzun</t>
  </si>
  <si>
    <t>Hırsız, fırsat buldukça bir şeyler aşırmaktan geri kalmayan</t>
  </si>
  <si>
    <t>Eli varmamak</t>
  </si>
  <si>
    <t>Bir işi yapmaya gönlü razı olmamak</t>
  </si>
  <si>
    <t>El kadar</t>
  </si>
  <si>
    <t>Küçük, küçücük</t>
  </si>
  <si>
    <t>El oğlu</t>
  </si>
  <si>
    <t>Yabancı</t>
  </si>
  <si>
    <t>El üstünde tutulmak</t>
  </si>
  <si>
    <t>Çok değer verilip sevilmek, kendisine büyük ölçüde saygı gösterilmek</t>
  </si>
  <si>
    <t>Emir kulu</t>
  </si>
  <si>
    <t>Kendisine emredilen işi yapmak zorunda olan kimse</t>
  </si>
  <si>
    <t>Enine boyuna</t>
  </si>
  <si>
    <t>Her yönü ile, eksiksiz, bütün ihtimalleri göz önünde tutarak</t>
  </si>
  <si>
    <t>Esip savurmak</t>
  </si>
  <si>
    <t>Bağırıp çağırmak, öfke ile atıp tutmak</t>
  </si>
  <si>
    <t>Eski defterleri karıştırmak</t>
  </si>
  <si>
    <t>Eski olayları, işleri bir çıkar umuduyla tekrar ele almak, yeniden gündeme getirmek</t>
  </si>
  <si>
    <t>Eski hamam eski tas</t>
  </si>
  <si>
    <t>Hiçbir şey değişmemiş, eski durumda kalmış</t>
  </si>
  <si>
    <t>Eski kafalı</t>
  </si>
  <si>
    <t>Yeniliğe açık olmayan, yaşayış ve düşünce itibariyle eskiye bağlı</t>
  </si>
  <si>
    <t>Eski toprak</t>
  </si>
  <si>
    <t>Yaşlılığına rağmen dinçliğini, dayanıklılığını hâlâ sürdüren, gücünü kaybetmemiş kimse</t>
  </si>
  <si>
    <t>Eşeğini sağlam kazığa bağlamak</t>
  </si>
  <si>
    <t>İşini güvenli kılacak önlemler almak</t>
  </si>
  <si>
    <t>Eşiğini aşındırmak</t>
  </si>
  <si>
    <t>Bir işi yaptırmak, gördürmek için bir yere çok gidip gelmek</t>
  </si>
  <si>
    <t>Eşref saat</t>
  </si>
  <si>
    <t>İş görecek kimsenin uysal davranacağı, aksilik çıkarmayacağı zaman</t>
  </si>
  <si>
    <t>Etekleri tutuşmak</t>
  </si>
  <si>
    <t>Çok telâşlanmak, heyecanlanmak</t>
  </si>
  <si>
    <t>Etekleri zil çalmak</t>
  </si>
  <si>
    <t>Çok sevinmek, işler yolunda olmak</t>
  </si>
  <si>
    <t>Etliye sütlüye karışmamak</t>
  </si>
  <si>
    <t>Kendini ilgilendirmeyen meselelerden, toplumu derinden etkileyen olaylardan uzak durmak, kaçınmak ve hiçbiriyle ilgilenmemek</t>
  </si>
  <si>
    <t>Et tırnak olmak</t>
  </si>
  <si>
    <t>Sıkı bir ilişkiye girmek, birbirinden kopmamak</t>
  </si>
  <si>
    <t>Ettiğini bulmak</t>
  </si>
  <si>
    <t>Yaptığı bir kötülüğün cezasını görmek</t>
  </si>
  <si>
    <t>Evdeki hesap çarşıya uymamak</t>
  </si>
  <si>
    <t>Önceden tasarlanan, düşünülen bir iş umulduğu gibi gitmemek, başka bir yönde gelişmek</t>
  </si>
  <si>
    <t>Eyvallah etmemek</t>
  </si>
  <si>
    <t>Minnet altına girip boyun eğmemek</t>
  </si>
  <si>
    <t>Faka basmak</t>
  </si>
  <si>
    <t>Tuzağa düşmek, aldatılmak</t>
  </si>
  <si>
    <t>Falso vermek</t>
  </si>
  <si>
    <t>Açık vermek veya kusurlu bir durumu olmak, kusuru açığa çıkmak</t>
  </si>
  <si>
    <t>Fareler cirit oynamak</t>
  </si>
  <si>
    <t>Bir yer ıssız olmak, kimseler bulunmamak</t>
  </si>
  <si>
    <t>Feleğin çemberinden geçmek</t>
  </si>
  <si>
    <t>Hayatta çok günler görmüş, acı tatlı olaylar yaşayıp tecrübe kazanmış, olgunlaşmış</t>
  </si>
  <si>
    <t>Fellik fellik aramak</t>
  </si>
  <si>
    <t>Telâşla, hemen her köşeye bakarak heyecanla aramak</t>
  </si>
  <si>
    <t>Ferman dinlememek</t>
  </si>
  <si>
    <t>Kural, yasa, söz dinlememek; hiçbir yerden buyruk almamak</t>
  </si>
  <si>
    <t>Fırıldak çevirmek</t>
  </si>
  <si>
    <t>Düzen kurmak, hileli iş görmek</t>
  </si>
  <si>
    <t>Fink atmak</t>
  </si>
  <si>
    <t>Hiçbir şeye aldırmadan gönlünce gezip eğlenmek, şurada burada oynayıp zıplamak</t>
  </si>
  <si>
    <t>Fiskos etmek</t>
  </si>
  <si>
    <t>Birilerinin bulunduğu bir yerde birkaç kişi gizlice ve alçak sesle konuşmak</t>
  </si>
  <si>
    <t>Fitne sokmak</t>
  </si>
  <si>
    <t>İnsanları birbirine düşürecek, aralarını bozacak davranışta bulunmak, sözler sarf etmek</t>
  </si>
  <si>
    <t>Fiyat biçmek</t>
  </si>
  <si>
    <t>Bir şeyin değerini belirlemek, para karşılığını tespit etmek</t>
  </si>
  <si>
    <t>Fol yok yumurta yok</t>
  </si>
  <si>
    <t>Ortada (bir konu ile ilgili) hiçbir belirti olmadığı hâlde varmış gibi bir kuşkuya düşmek</t>
  </si>
  <si>
    <t>Foyası meydana çıkmak</t>
  </si>
  <si>
    <t>Yalanı, dolanı, hilesi, kötü niteliği, kusuru ortaya çıkmak</t>
  </si>
  <si>
    <t>Gafil avlamak / avlanmak</t>
  </si>
  <si>
    <t>Bir kimseyi hazırlıksız ve habersiz bir anında yakalamak, güç duruma düşürmek, güç durumundan yararlanmak</t>
  </si>
  <si>
    <t>Gaflete düşmek</t>
  </si>
  <si>
    <t>Dalgın, dikkatsiz, uyuşuk olmak</t>
  </si>
  <si>
    <t>Gam yememek</t>
  </si>
  <si>
    <t>Kaygılanmamak, tasa etmemek, üzülmemek</t>
  </si>
  <si>
    <t>Gani gönüllü</t>
  </si>
  <si>
    <t>Cömert, eli bol, vermekten kaçınmayan</t>
  </si>
  <si>
    <t>Gâvur inadı</t>
  </si>
  <si>
    <t>Yok edilemeyen, önüne geçilemeyen, yumuşatılamayan inat</t>
  </si>
  <si>
    <t>Gece kuşu</t>
  </si>
  <si>
    <t>Geceleri gezip dolaşan, bunu huy edinen kimse</t>
  </si>
  <si>
    <t>Geceyi gündüze katmak</t>
  </si>
  <si>
    <t>Ara vermeden, devamlı çalışmak; büyük çaba göstermek</t>
  </si>
  <si>
    <t>Geçti Bor’un pazarı (sür eşeğini Niğde`ye)</t>
  </si>
  <si>
    <t>fırsatı kaçırmak</t>
  </si>
  <si>
    <t>Gel keyfim gel</t>
  </si>
  <si>
    <t>Bir durumdan duyulan memnunluk, işlerin yolunda gitmesi</t>
  </si>
  <si>
    <t>Gel zaman git zaman</t>
  </si>
  <si>
    <t>Aradan epeyce bir zaman geçtikten sonra</t>
  </si>
  <si>
    <t>Gemi azıya almak</t>
  </si>
  <si>
    <t>Söz dinlemez olmak</t>
  </si>
  <si>
    <t>Geri durmamak</t>
  </si>
  <si>
    <t>Bir işe girmekten kaçınmamak, o işe girişmek</t>
  </si>
  <si>
    <t>Geri kafalı</t>
  </si>
  <si>
    <t>Yenilikleri kabul etmeyen, bağnaz, kafası hurafelerle dolu</t>
  </si>
  <si>
    <t>Gık dememek</t>
  </si>
  <si>
    <t>Hiç sesini çıkarmamak, yakınmamak, karşı çıkmamak</t>
  </si>
  <si>
    <t>Gına gelmek</t>
  </si>
  <si>
    <t>Usanmak, bıkmak</t>
  </si>
  <si>
    <t>Gırtlağına kadar borca girmek</t>
  </si>
  <si>
    <t>Pek çok, ödenmesi zor olacak şekilde borçlanmak</t>
  </si>
  <si>
    <t>Göğsü kabarmak</t>
  </si>
  <si>
    <t xml:space="preserve"> İftihar etmek, övünç duymak</t>
  </si>
  <si>
    <t>Göğüs germek</t>
  </si>
  <si>
    <t>Bir zorluğa dayanmak, karşı koymak</t>
  </si>
  <si>
    <t>Göklere çıkarmak</t>
  </si>
  <si>
    <t>Aşırı ölçüde övmek</t>
  </si>
  <si>
    <t>Gölge düşürmek</t>
  </si>
  <si>
    <t>Bir şeyin önemini ve değerini azaltacak, ününü düşürecek işler yapmak</t>
  </si>
  <si>
    <t>Gönlü bol</t>
  </si>
  <si>
    <t>Yeterli imkânlardan mahrum olmasına rağmen eli açık davranan, cömert</t>
  </si>
  <si>
    <t>Gönlünden kopmak</t>
  </si>
  <si>
    <t>Birine iyilik yapma ya da bir şeyi verme isteği, içinde aniden doğuvermek</t>
  </si>
  <si>
    <t>Gönlü tok</t>
  </si>
  <si>
    <t>Fazla para ve mal istemeyen, zorunlu ihtiyacı kadarı ile yetinen, imkânları az da olsa bunu hissettirmeyen, bu durumda dahi cömert olan</t>
  </si>
  <si>
    <t>Gönül almak</t>
  </si>
  <si>
    <t>Kırılan, gücenen bir kimseyi güzel söz ve davranışlarla yeniden hoşnut etmek</t>
  </si>
  <si>
    <t>Gönüllü gönülsüz</t>
  </si>
  <si>
    <t>Pek de istekli olmayarak</t>
  </si>
  <si>
    <t>Gönül yapmak</t>
  </si>
  <si>
    <t>Hoşa giden davranışlarla veya sözle birinin kırgınlığını gidermek</t>
  </si>
  <si>
    <t>Gövde gösterisi</t>
  </si>
  <si>
    <t>Belli bir amaç için güçlerini birleştiren kalabalıkların yaptıkları gösteri</t>
  </si>
  <si>
    <t>Göz açamamak</t>
  </si>
  <si>
    <t>İşlerinin yoğun oluşu sebebiyle başka bir şeyle ilgilenme imkânı bulamamak</t>
  </si>
  <si>
    <t>Göz açtırmamak</t>
  </si>
  <si>
    <t>Baskı altında bulundurarak başka bir şeyle uğraşmasına fırsat vermemek</t>
  </si>
  <si>
    <t>Göz atmak</t>
  </si>
  <si>
    <t>Kısaca, dikkatli değil de şöyle bir bakıvermek; üzerinde fazla durmadan elden geçirmek</t>
  </si>
  <si>
    <t>Göz boyamak</t>
  </si>
  <si>
    <t> Gösterişle aldatmak, bir şeyi iyi gibi göstermek, kandırmak, yanıltmak</t>
  </si>
  <si>
    <t>Göz bebeği</t>
  </si>
  <si>
    <t>Pek değerli, sevgili, çok önem verilen (kimse)</t>
  </si>
  <si>
    <t>Gözdağı vermek</t>
  </si>
  <si>
    <t>Korkutmak, tehdit etmek, istediğini yaptırmak için yıldırmak</t>
  </si>
  <si>
    <t>Gözden çıkarmak</t>
  </si>
  <si>
    <t>Bir malın elinden çıkmasına katlanmak, bir şeyden vazgeçmek ve yokluğuna razı olmak</t>
  </si>
  <si>
    <t>Gözden düşmek</t>
  </si>
  <si>
    <t>Kendisine daha önce duyulan sevgi ve ilgiyi kaybetmek</t>
  </si>
  <si>
    <t>Gözden ırak olan gönülden de ırak olur</t>
  </si>
  <si>
    <t>Ayrı düşenlerin arasındaki sevgi de zamanla azalır</t>
  </si>
  <si>
    <t>Gözde tütmek</t>
  </si>
  <si>
    <t>Çok özlemek, hasret çekmek</t>
  </si>
  <si>
    <t>Göz dikmek</t>
  </si>
  <si>
    <t>Bir şeyi ele geçirmek isteğinde olmak</t>
  </si>
  <si>
    <t>Göze almak</t>
  </si>
  <si>
    <t>Bir iş nedeniyle karşılaşabileceği her türlü zararı ve tehlikeyi önceden kabullenmek</t>
  </si>
  <si>
    <t>Göze batmak</t>
  </si>
  <si>
    <t>Başkalarını aşırı söz ve davranışlarıyla tedirgin etmek</t>
  </si>
  <si>
    <t>Göze çarpmak</t>
  </si>
  <si>
    <t>Görünüşü ile dikkati üzerine çekmek</t>
  </si>
  <si>
    <t>Göze girmek</t>
  </si>
  <si>
    <t>Yetenekleri ve davranışları ile çevresinde, bulunduğu yerde sevgi ve güven kazanmak</t>
  </si>
  <si>
    <t>Göze göz, dişe diş</t>
  </si>
  <si>
    <t>Misilleme; aynı biçimde kötülük yapıp öç alma, kötülüğü yapandan acısını çıkarma</t>
  </si>
  <si>
    <t>Göz göre göre</t>
  </si>
  <si>
    <t>Apaçık şekilde, herkesin gözü önünde</t>
  </si>
  <si>
    <t>Göz gözü görmemek</t>
  </si>
  <si>
    <t>Dumandan, karanlıktan ya da yoğun tozdan hiçbir şey görülmez olmak</t>
  </si>
  <si>
    <t>Göz kararı</t>
  </si>
  <si>
    <t>Gözle oranlanarak belirtilen miktar, gözle yapılan ölçme ya da oranlama</t>
  </si>
  <si>
    <t>Göz kırpmamak</t>
  </si>
  <si>
    <t>Hiç uyumamak</t>
  </si>
  <si>
    <t>Göz kulak olmak</t>
  </si>
  <si>
    <t>Korumak, bakmak, gözetmek</t>
  </si>
  <si>
    <t>Gözleri fal taşı gibi açılmak</t>
  </si>
  <si>
    <t>Hayret, şaşkınlık ve öfke gibi sebeplerle gözleri iri iri açılmış olmak</t>
  </si>
  <si>
    <t>Gözleri kan çanağına dönmek</t>
  </si>
  <si>
    <t>Uykusuzluk, ağlama, kızgınlık ya da bir şeyin kaçması sebebiyle gözlerin çok kızarmış olması</t>
  </si>
  <si>
    <t>Gözlerini (gözünü) kan bürümek</t>
  </si>
  <si>
    <t>Çok öfkeli, kinli olmak; her kötülüğü yapacak hâle gelmek</t>
  </si>
  <si>
    <t>Gözlerinin içi gülmek</t>
  </si>
  <si>
    <t>Çok sevindiğini gözlerinden ve yüzünden belli etmek</t>
  </si>
  <si>
    <t>Gözleri yollarda kalmak</t>
  </si>
  <si>
    <t>Özlemle beklemek</t>
  </si>
  <si>
    <t>Göz ucuyla bakmak</t>
  </si>
  <si>
    <t>Belli etmemeye çalışarak, başını çevirmeden göz kenarı ile yandan bakmak</t>
  </si>
  <si>
    <t>Gözü açık</t>
  </si>
  <si>
    <t>Uyanık, kurnaz, çıkarlarını iyi kollayan, becerikli, zeki</t>
  </si>
  <si>
    <t>Gözü açık gitmek</t>
  </si>
  <si>
    <t>Çok istediği şeylere kavuşamadan ölmek</t>
  </si>
  <si>
    <t>Gözü açılmak</t>
  </si>
  <si>
    <t>Yararlıyı yararsızı, iyiyi kötüyü ayırt edebilir duruma gelmek</t>
  </si>
  <si>
    <t>Gözü arkada kalmak</t>
  </si>
  <si>
    <t>Kendisi ayrıldıktan sonra, bıraktığı şey veya kimse ile ilgili tedirginliği sürmek, merak etmek</t>
  </si>
  <si>
    <t>Gözü gibi sakınmak</t>
  </si>
  <si>
    <t>Bir şeye aşırı derecede ilgi duymak, onu koruyup gözetmek, dikkatle muhafaza etmek</t>
  </si>
  <si>
    <t>Gözü hiçbir şey görmemek</t>
  </si>
  <si>
    <t>Heyecana, öfkeye ya da önem verdiği bir işe kapılıp başka hiçbir şeyle uğraşamaz duruma gelmek</t>
  </si>
  <si>
    <t>Gözü ısırmak</t>
  </si>
  <si>
    <t>Bir kimseyi sanki tanır gibi olmak</t>
  </si>
  <si>
    <t>Gözü kara</t>
  </si>
  <si>
    <t>Cesur, atak, korkusuz, tehlikeli işlere tereddüt etmeden girebilen</t>
  </si>
  <si>
    <t>Gözünde büyümek</t>
  </si>
  <si>
    <t>Gözüne girmek</t>
  </si>
  <si>
    <t>Birinin sevgi ve ilgisini kazanmak</t>
  </si>
  <si>
    <t>Gözünü daldan budaktan esirgememek</t>
  </si>
  <si>
    <t>Tehlikeli işlere girişmekten çekinmemek</t>
  </si>
  <si>
    <t>Gözünü dört açmak</t>
  </si>
  <si>
    <t>Bir hileye düşmemek, aldanmamak için çok dikkatli olmak</t>
  </si>
  <si>
    <t>Gözünü kan bürümek</t>
  </si>
  <si>
    <t>Birisini öldürecek kadar öfkelenmek</t>
  </si>
  <si>
    <t>Gözünü korkutmak</t>
  </si>
  <si>
    <t>Yıldırmak, karşı duramaz hâle getirmek</t>
  </si>
  <si>
    <t>Gözünün önünden gitmemek</t>
  </si>
  <si>
    <t>Unutamamak, her an görür gibi olmak</t>
  </si>
  <si>
    <t>Gözünün yaşına bakmamak</t>
  </si>
  <si>
    <t>Hiç acımamak, merhamet etmemek</t>
  </si>
  <si>
    <t>Gözü pek</t>
  </si>
  <si>
    <t>Korkusuz, atılgan, cesur, tehlikelere aldırmayan</t>
  </si>
  <si>
    <t>Gözü sulu</t>
  </si>
  <si>
    <t>En küçük sevinç ya da üzüntü karşısında hemen ağlayıveren, gözyaşlarını tutamayan</t>
  </si>
  <si>
    <t>Gözü tok</t>
  </si>
  <si>
    <t>Elinde imkânlar olsun olmasın, mal-mülk veya paraya düşkün olmayan, cömert</t>
  </si>
  <si>
    <t>Gözü tutmak</t>
  </si>
  <si>
    <t>Güvenmek, beğenmek</t>
  </si>
  <si>
    <t>Göz yummak</t>
  </si>
  <si>
    <t>Kabahatlerini, kusurlarını hoş karşılamak, görmezlikten gelmek, bağışlamak</t>
  </si>
  <si>
    <t>Göz yummamak</t>
  </si>
  <si>
    <r>
      <rPr>
        <b/>
        <sz val="11"/>
        <color rgb="FF222222"/>
        <rFont val="Times New Roman"/>
      </rPr>
      <t> </t>
    </r>
    <r>
      <rPr>
        <sz val="11"/>
        <color rgb="FF222222"/>
        <rFont val="Times New Roman"/>
      </rPr>
      <t>Hoş görmemek, bağışlamamak</t>
    </r>
  </si>
  <si>
    <t>Gururunu okşamak</t>
  </si>
  <si>
    <t>Bir kimseyi yüzüne karşı överek, becerilerini söyleyerek duygulandırmak</t>
  </si>
  <si>
    <t>Gücüne gitmek</t>
  </si>
  <si>
    <t>Bir söz, bir davranış bir kimsenin onuruna dokunmak, o kimseye ağır gelmek</t>
  </si>
  <si>
    <t>Güllük gülistanlık</t>
  </si>
  <si>
    <t>Sorunları bulunmayan; neşe, bolluk ve huzur içinde olan yer</t>
  </si>
  <si>
    <t>Günahını vermez</t>
  </si>
  <si>
    <t>Çok cimri, eli sıkı</t>
  </si>
  <si>
    <t>Gün görmek</t>
  </si>
  <si>
    <t>Bolluk, mutluluk, esenlik içinde huzurlu günler geçirmek</t>
  </si>
  <si>
    <t>Gün görmüş</t>
  </si>
  <si>
    <t>Başından nice işler geçmiş, tecrübeli, görüp geçirmiş, çok yaşamış</t>
  </si>
  <si>
    <t>Gün ışığına çıkmak</t>
  </si>
  <si>
    <t>Aydınlanmak, açıklığa kavuşmak, anlaşılır olmak</t>
  </si>
  <si>
    <t>Gününü gün etmek</t>
  </si>
  <si>
    <t>Eline geçen imkânları değerlendirmek, hiçbir şeyi dert edinmeyip hoşça vakit geçirmek</t>
  </si>
  <si>
    <t>Güvendiği dağlara kar yağmak</t>
  </si>
  <si>
    <t>Güvendiği kimselerden yardım alamamak, güvendiği bir şeyin işe yaramadığı anlaşılmak</t>
  </si>
  <si>
    <t>Güven vermek</t>
  </si>
  <si>
    <t>Kendisinin güvenilir bir kişi olduğu, kendisine itimat edilebileceği duygusunu uyandırmak</t>
  </si>
  <si>
    <t>Haber uçurmak</t>
  </si>
  <si>
    <t>Çabucak, gizlice haber göndermek</t>
  </si>
  <si>
    <t>Hacet kalmamak</t>
  </si>
  <si>
    <t>Gereği olmamak, lüzumu kalmamak</t>
  </si>
  <si>
    <t>Haddini bildirmek</t>
  </si>
  <si>
    <t>etkisi dışındaki işlere karıştığı için sert bir karşılık vererek onu cezalandırmak, yola getirmek, uslandırmak, yetki sınırını bildirmek</t>
  </si>
  <si>
    <t>Hafife almak</t>
  </si>
  <si>
    <t> Küçümsemek, önem vermemek</t>
  </si>
  <si>
    <t>Hakkı geçmek</t>
  </si>
  <si>
    <t xml:space="preserve"> Birisinin payından bir başkası almış olmak</t>
  </si>
  <si>
    <t>Hakkından gelmek</t>
  </si>
  <si>
    <t>Güç bir işi başarı ile sonuçlandırmak</t>
  </si>
  <si>
    <t>Hakkını vermek</t>
  </si>
  <si>
    <t>Bir şeyin lâyıkıyla yapılması için ne gerekiyorsa ondan kaçınmamak</t>
  </si>
  <si>
    <t>Hakkını yemek</t>
  </si>
  <si>
    <t>Birinin hakkı olan şeyi vermemek, onu kendisine maletmek</t>
  </si>
  <si>
    <t>Hâle yola koymak</t>
  </si>
  <si>
    <t>Düzenlemek, tertiplemek, iyi işler bir duruma getirmek</t>
  </si>
  <si>
    <t>Hâli vakti yerinde</t>
  </si>
  <si>
    <t>Zengin, oldukça varlıklı, para durumu iyi</t>
  </si>
  <si>
    <t>Halka verir talkını kendi yutar salkımı</t>
  </si>
  <si>
    <t>Kendi verdiği öğütlere kendisi uymaz</t>
  </si>
  <si>
    <t>Hangi dağda kurt öldü</t>
  </si>
  <si>
    <t>Kendisinden hiç umulmayan, beklenilmeyen bir kimsenin olumlu davranışı görüldüğünde</t>
  </si>
  <si>
    <t>Hangi rüzgâr attı</t>
  </si>
  <si>
    <t>uzun süre bir yerde görünmeyen kimse için kullanılır</t>
  </si>
  <si>
    <t>Hangi taşı kaldırsan altından çıkar</t>
  </si>
  <si>
    <t>Hemen her işte parmağı vardır</t>
  </si>
  <si>
    <t>Hanım evlâdı</t>
  </si>
  <si>
    <t>Nazlı büyütülmüş, zora gelmeyen, çıtkırıldım kimse</t>
  </si>
  <si>
    <t>Hapı yutmak</t>
  </si>
  <si>
    <t>Kötü bir duruma düşmek, zarar ve ziyana uğramak</t>
  </si>
  <si>
    <t>Haram olmak</t>
  </si>
  <si>
    <t>Bir şeyden gerektiği gibi yararlanamaz olmak</t>
  </si>
  <si>
    <t>Harfi harfine</t>
  </si>
  <si>
    <t>Tastamam, uygun, tıpatıp, gerçekte olduğu gibi</t>
  </si>
  <si>
    <t>Har vurup harman savurmak</t>
  </si>
  <si>
    <t>Hesapsızca, düşüncesizce harcamak; malını, parasını ölçüsüzce, bol bol harcayıp tüketmek</t>
  </si>
  <si>
    <t>Hastası olmak</t>
  </si>
  <si>
    <t>Bir şeye çok düşkün olmak</t>
  </si>
  <si>
    <t>Hatırı kalmak</t>
  </si>
  <si>
    <t>Gücenmek, kırılmak</t>
  </si>
  <si>
    <t>Hava basmak</t>
  </si>
  <si>
    <t>Büyüklenmek, kibirlenmek, olduğundan fazla görünmeye çalışmak</t>
  </si>
  <si>
    <t>Havada kalmak</t>
  </si>
  <si>
    <t>Sonuca bağlanamamak, bir iddia, dayanaksız olduğundan ispat edilememek</t>
  </si>
  <si>
    <t>Havadan sudan konuşmak</t>
  </si>
  <si>
    <t>Öylesine, gelişigüzel, rastgele konuşmak</t>
  </si>
  <si>
    <t>Hava hoş</t>
  </si>
  <si>
    <t>Şu ya da bu şekilde olması arasında bir fark olmamak</t>
  </si>
  <si>
    <t>Havanda su dövmek</t>
  </si>
  <si>
    <t>Bir işle boşuna uğraşmak</t>
  </si>
  <si>
    <t>Hayatını kazanmak</t>
  </si>
  <si>
    <t>Çalışıp elde ettiği para ile geçimini sağlamak</t>
  </si>
  <si>
    <t>Hayat memat meselesi</t>
  </si>
  <si>
    <t>Sonucu çok tehlikeli olan, ölüm kokan bir durum</t>
  </si>
  <si>
    <t>Hazıra konmak</t>
  </si>
  <si>
    <t>Hiçbir emek sarf etmeden, çaba göstermeden başkasının emeği ile ortaya çıkmış olan şeyden yararlanmak</t>
  </si>
  <si>
    <t>Helâl süt emmiş olmak</t>
  </si>
  <si>
    <t> İyi huylu, doğru yoldan sapmayan, temiz bir kişi</t>
  </si>
  <si>
    <t>Hem suçlu hem güçlü</t>
  </si>
  <si>
    <t>Gerçekte kendisi suçlu olduğu hâlde suç işlememiş gibi davranan ve karşısındakini suçlamaya çalışan kimse</t>
  </si>
  <si>
    <t>Her kafadan bir ses (çıkmak)</t>
  </si>
  <si>
    <t>Bir konu üzerinde herkesin istediği gibi, rastgele konuşması</t>
  </si>
  <si>
    <t>Hesabını bilmek</t>
  </si>
  <si>
    <t>Boş yere para harcamamak, tutumlu davranmak</t>
  </si>
  <si>
    <t>Hesabını görmek</t>
  </si>
  <si>
    <t>Alacağını ödeyip ilişkisini kesmek</t>
  </si>
  <si>
    <t>Hevesi kursağında kalmak</t>
  </si>
  <si>
    <t>Çok istediği, imrendiği, kavuşmak dilediği şeyi elde edememek</t>
  </si>
  <si>
    <t>Heyheyleri tutmak</t>
  </si>
  <si>
    <t>Çok kızıp sinirlenmek</t>
  </si>
  <si>
    <t>Hık demiş burnundan düşmüş</t>
  </si>
  <si>
    <t>çok benzemek</t>
  </si>
  <si>
    <t>Hır çıkarmak</t>
  </si>
  <si>
    <t>Kavga, gürültü, patırtı ve olaya sebep olmak</t>
  </si>
  <si>
    <t>Hızır gibi yetişmek</t>
  </si>
  <si>
    <t>Dara düştüğü, çok sıkıştığı, çaresiz kaldığı bir zaman da, beklemediği bir kişi yardımına yetişmek</t>
  </si>
  <si>
    <t>Hiçe saymak</t>
  </si>
  <si>
    <t>Hiç önem ve değer vermemek</t>
  </si>
  <si>
    <t>Hizaya gelmek</t>
  </si>
  <si>
    <t>Aykırı, yanlış davranışlardan vazgeçmek; doğru yola gelmek, düzelmek</t>
  </si>
  <si>
    <t>Hop oturup hop kalkmak</t>
  </si>
  <si>
    <t>a heyecanından ya da öfkesinden yerinde duramaz olmak</t>
  </si>
  <si>
    <t>Hüküm giymek</t>
  </si>
  <si>
    <t>Mahkemece ya da birileri tarafından kendisine ceza verilmek</t>
  </si>
  <si>
    <t>Hüsrana uğramak</t>
  </si>
  <si>
    <t>Bir konuda beklenilen sonuca ulaşamamaktan dolayı çok üzülmek, acı çekmek</t>
  </si>
  <si>
    <t>Icığını cıcığını çıkarmak</t>
  </si>
  <si>
    <t>Bir meseleyi en ince ayrıntılarına kadar soruşturmak, incelemek</t>
  </si>
  <si>
    <t>Ikınıp sıkınmak</t>
  </si>
  <si>
    <t>Bir işi yapabilmek için kendini çok zorlamak</t>
  </si>
  <si>
    <t>Irağı yakın etmek</t>
  </si>
  <si>
    <t>Yapılması, gerçekleşmesi zor olan işleri, tüm güçlükleri yenerek gerçekleştirmek</t>
  </si>
  <si>
    <t>Isıtıp ısıtıp önüne koymak</t>
  </si>
  <si>
    <t>Daha önce meydana gelmiş bir olayı ya da bir işi bir düşünceyi yeniden, sık sık tekrarlamak</t>
  </si>
  <si>
    <t>Iskartaya çıkarmak</t>
  </si>
  <si>
    <t>İşi yaramaz, değersiz bularak bir yana atmak</t>
  </si>
  <si>
    <t>Işık tutmak</t>
  </si>
  <si>
    <t>Bilgisiyle, düşüncesiyle bir konuya açıklık getirmek, tutacağı yolu göstermek</t>
  </si>
  <si>
    <t>İcabına bakmak</t>
  </si>
  <si>
    <t>Gereğini yerine getirmek</t>
  </si>
  <si>
    <t>İcat çıkarmak</t>
  </si>
  <si>
    <t>Hoşa gitmeyecek bir huy edinmek, hoş olmayan bir davranışta bulunmak</t>
  </si>
  <si>
    <t>İçi açılmak</t>
  </si>
  <si>
    <t>Sıkıntısı dağılıp gitmek, ferahlamak</t>
  </si>
  <si>
    <t>İçi cız etmek</t>
  </si>
  <si>
    <t>Ansızın içi sızlamak, çok üzülmek</t>
  </si>
  <si>
    <t>İçi dışı bir (olmak)</t>
  </si>
  <si>
    <t xml:space="preserve"> iki yüzlü davranmayan, düşündüğünü açıkça söyleyen</t>
  </si>
  <si>
    <t>İçi geçmek</t>
  </si>
  <si>
    <t> İstemediği halde uyuya kalmak</t>
  </si>
  <si>
    <t>İçi içine sığmamak</t>
  </si>
  <si>
    <t>Çok heyecanlanmak, coşkunluk duymak ve sevincini belli etmekten kendini alamamak</t>
  </si>
  <si>
    <t>İçi kan ağlamak</t>
  </si>
  <si>
    <t xml:space="preserve"> İçten, büyük bir üzüntü duymak; dıştan belli etmeyerek çok acımak</t>
  </si>
  <si>
    <t>İçine doğmak</t>
  </si>
  <si>
    <t xml:space="preserve"> bir işin olduğunu ya da olacağını sezinlemek, tahmin etmek</t>
  </si>
  <si>
    <t>İçine işlemek</t>
  </si>
  <si>
    <t>Duygulanmak, etkilenmek</t>
  </si>
  <si>
    <t>İçine kapanmak</t>
  </si>
  <si>
    <t>Duygularını kimseye açmamak, çevresindeki kişilerle ilişkisini kesmek, yalnızlığa gömülmek</t>
  </si>
  <si>
    <t>İçine kurt düşmek</t>
  </si>
  <si>
    <t>Kuşkulanmak, kendisine zarar geleceğinden şüphe etmek</t>
  </si>
  <si>
    <t>İçine sinmemek</t>
  </si>
  <si>
    <r>
      <rPr>
        <b/>
        <sz val="11"/>
        <color rgb="FF222222"/>
        <rFont val="Times New Roman"/>
      </rPr>
      <t> </t>
    </r>
    <r>
      <rPr>
        <sz val="11"/>
        <color rgb="FF222222"/>
        <rFont val="Times New Roman"/>
      </rPr>
      <t>İçi rahat etmemek, yaptığı şeyden memnun olmamak</t>
    </r>
  </si>
  <si>
    <t>İçini dökmek</t>
  </si>
  <si>
    <t>Dertlerini, sıkıntılarını, üzüntülerini anlatmak</t>
  </si>
  <si>
    <t>İçini kemirmek</t>
  </si>
  <si>
    <t>Bir üzüntü ve düşünce dolayısıyla rahatsızlık duymak</t>
  </si>
  <si>
    <t>İçi yanmak</t>
  </si>
  <si>
    <t>Büyük bir acı sebebiyle çok fazla üzülmek</t>
  </si>
  <si>
    <t>İçler acısı</t>
  </si>
  <si>
    <t>Oldukça üzücü, çok acıklı</t>
  </si>
  <si>
    <t>İçli dışlı olmak</t>
  </si>
  <si>
    <t>Teklifsiz, çok samimi olmak</t>
  </si>
  <si>
    <t>İçtikleri su ayrı gitmemek</t>
  </si>
  <si>
    <t>dost, samimi arkadaş olmak</t>
  </si>
  <si>
    <t>İğne atsan yere düşmez</t>
  </si>
  <si>
    <t xml:space="preserve"> Çok kalabalık, yürünecek gibi değil.</t>
  </si>
  <si>
    <t>İğne ile kuyu kazmak</t>
  </si>
  <si>
    <t>Zor denecek bir işi yetersiz araç ve gereçlerle başarmaya çalışmak</t>
  </si>
  <si>
    <t>İğne ipliğe dönmek</t>
  </si>
  <si>
    <t>Aşırı derecede zayıflamak, kilo vermek</t>
  </si>
  <si>
    <t>İki arada bir derede (kalmak)</t>
  </si>
  <si>
    <t>Sıkışık, zor şartlar altında (kalmak)</t>
  </si>
  <si>
    <t>İki ayağını bir pabuca sokmak</t>
  </si>
  <si>
    <t>Bir kimseyi, bir işi yapması için zorlamak, sıkıntıya sokmak</t>
  </si>
  <si>
    <t>İki cihanda yüzü ak olmak</t>
  </si>
  <si>
    <t>Doğru ve faziletli yaşayıp dünya ve ahirette mükafat görmek</t>
  </si>
  <si>
    <t>İki dirhem bir çekirdek</t>
  </si>
  <si>
    <t>Çok şık, özenli giyinmiş (kimse)</t>
  </si>
  <si>
    <t>İki eli kanda olsa</t>
  </si>
  <si>
    <t>Ne kadar önemli olursa olsun, elindeki iş hiç bırakılamayacak derecede olsa bile</t>
  </si>
  <si>
    <t>İki eli yakasında olmak</t>
  </si>
  <si>
    <t>hesap gününde ondan davacı olmak; hakkını istemek</t>
  </si>
  <si>
    <t>İki gözü iki çeşme</t>
  </si>
  <si>
    <t>Sürekli, çok ağlayarak</t>
  </si>
  <si>
    <t>İkili oynamak</t>
  </si>
  <si>
    <t>Birbirine karşı olanlardan hem birini, hem ötekini çıkarı için destelemek</t>
  </si>
  <si>
    <t>İki paralık etmek</t>
  </si>
  <si>
    <t>Değerini, onurunu çok düşürmek</t>
  </si>
  <si>
    <t>İki yakası bir araya gelmemek</t>
  </si>
  <si>
    <t>Geçim sıkıntısı içinde olmak ve borçtan kurtulamamak, gelir ve giderini denkleştirememek</t>
  </si>
  <si>
    <t>İleri geri konuşmak</t>
  </si>
  <si>
    <t>Yersiz, kırıcı, yaralayıcı biçimde konuşmak</t>
  </si>
  <si>
    <t>İnce eleyip sık dokumak</t>
  </si>
  <si>
    <t>Titizlik göstermek, bir şeyi en ince ayrıntılarına kadar araştırmak, gözden geçirmek</t>
  </si>
  <si>
    <t>İn cin top oynamak</t>
  </si>
  <si>
    <t> Issız, sessiz olmak, bir yerde hiçbir canlı yaratık bulunmamak</t>
  </si>
  <si>
    <t>İncir çekirdeğini doldurmaz</t>
  </si>
  <si>
    <t>Çok az veya pek önemsiz</t>
  </si>
  <si>
    <t>İpe un sermek</t>
  </si>
  <si>
    <t> İstenilen işi yapmamak için birtakım bahaneler, sebepler ileri sürmek, güçlük çıkarmak, engeller göstermek</t>
  </si>
  <si>
    <t>İpin ucunu kaçırmak</t>
  </si>
  <si>
    <t>Bir yeri yönetmede veya bir şeyi kullanmada gereken ölçüyü kaçırıp, artık duruma hakim olamamak; çıkmaza girmek</t>
  </si>
  <si>
    <t>İpiyle kuyuya inilmez</t>
  </si>
  <si>
    <t>Kendisine güvenilmez, ona güvenilerek bir işe girilmez</t>
  </si>
  <si>
    <t>İple çekmek</t>
  </si>
  <si>
    <t>Zamanın gelmesini sabırsızlıkla beklemek, çok istemek</t>
  </si>
  <si>
    <t>İstifini bozmamak</t>
  </si>
  <si>
    <t>Bir olay karşısında aldırış etmemek, durum ve davranışını hiç değiştirmemek</t>
  </si>
  <si>
    <t>İş başa düşmek</t>
  </si>
  <si>
    <t>Beklediği yardım gelmeyince, kendi işini kendisi yapmak zorunda kalmak</t>
  </si>
  <si>
    <t>İş çığırından çıkmak</t>
  </si>
  <si>
    <t>Bir iş asıl amaçtan çıkarak düzelmesi güç bir durum almak, bir bozukluk ve kargaşalık baş göstermek</t>
  </si>
  <si>
    <t>İşi düşmek</t>
  </si>
  <si>
    <t>Birinin yardımına ihtiyaç duymak</t>
  </si>
  <si>
    <t>İşe koşmak</t>
  </si>
  <si>
    <t>Birini bir iş yapmak üzere görevlendirmek, göndermek</t>
  </si>
  <si>
    <t>İşi başından aşmak</t>
  </si>
  <si>
    <t>Pek çok işi olmak</t>
  </si>
  <si>
    <t>İşi tıkırında olmak</t>
  </si>
  <si>
    <t>İşi çok uygun ve iyi olmak</t>
  </si>
  <si>
    <t>İşi yokuşa sürmek</t>
  </si>
  <si>
    <t>Yapılabilir, görülebilir işi yapmamak için güçlük çıkarmak</t>
  </si>
  <si>
    <t>İş sarpa sarmak</t>
  </si>
  <si>
    <t xml:space="preserve"> İş, içinden çıkılması zor bir durum almak; engellerle karşılaşmak</t>
  </si>
  <si>
    <t>İte kaka</t>
  </si>
  <si>
    <t>Zorla, güçlükle</t>
  </si>
  <si>
    <t>İzinden yürümek</t>
  </si>
  <si>
    <t>Birine içten bağlanarak onun başladığı işi aynı anlayışla sürdürmek, fikirlerini ve hareketlerini aynen benimsemek</t>
  </si>
  <si>
    <t>Jeton düşmek</t>
  </si>
  <si>
    <t>Anlamak, kavramak</t>
  </si>
  <si>
    <t>Jetonu geç düşmek</t>
  </si>
  <si>
    <t>Bir konuyu, sorunu ya da düşünceyi geç ve güç anlamak</t>
  </si>
  <si>
    <t>Kabak (birinin) başına (başında) patlamak</t>
  </si>
  <si>
    <t>Birçok kimsenin ilgili olduğu olaydan yalnızca bir kimse zararlı çıkmak; beklenmediği halde, bir işin zararlı sonucuna katlanmak</t>
  </si>
  <si>
    <t>Kabak tadı vermek</t>
  </si>
  <si>
    <t>Bıktırmak, usanç vermek</t>
  </si>
  <si>
    <t>Kabına sığmamak</t>
  </si>
  <si>
    <t>Sevinç ve heyecanından taşkın hareketlerde bulunmak</t>
  </si>
  <si>
    <t>Kabuğuna çekilmek</t>
  </si>
  <si>
    <t>Tek başına kalmak, dış dünya ile ilgisini kesmek, kimse ile görüşmemek</t>
  </si>
  <si>
    <t>Kafadan atmak</t>
  </si>
  <si>
    <t>Bir konu üzerinde inceleme yapmadan, rast gele konuşmak</t>
  </si>
  <si>
    <t>Kafadan kontak</t>
  </si>
  <si>
    <t>Düşüncesiz, delice işler yapan, aklı kıt</t>
  </si>
  <si>
    <t>Kafa dengi</t>
  </si>
  <si>
    <t>Davranışları, anlayışları, dünya görüşleri birbirine uymuş kimse</t>
  </si>
  <si>
    <t>Kafa patlatmak</t>
  </si>
  <si>
    <t>Bir konu üzerinde pek çok düşünmek, zihin yormak</t>
  </si>
  <si>
    <t>Kafa tutmak</t>
  </si>
  <si>
    <t>Karşı gelmek, direnmek, boyun eğmemek</t>
  </si>
  <si>
    <t>Kafası kazan (gibi) olmak</t>
  </si>
  <si>
    <t>Zihni yorulmak</t>
  </si>
  <si>
    <t>Kafası kızmak</t>
  </si>
  <si>
    <t>Çok öfkelenip sinirlenmek</t>
  </si>
  <si>
    <t>Kafasına dank etmek</t>
  </si>
  <si>
    <t>Çoktandır anlayamadığı bir meseleyi bir olay sebebiyle birden bire kavramak, anlamak</t>
  </si>
  <si>
    <t>Kafasına koymak</t>
  </si>
  <si>
    <t>Bir şeyi yapmaya kararlı olup zamanını beklemek</t>
  </si>
  <si>
    <t>Kafası yerinde olmamak</t>
  </si>
  <si>
    <t>O anda kafası çok yorgun olmak</t>
  </si>
  <si>
    <t>Kağıda dökmek</t>
  </si>
  <si>
    <t>Düşüncelerini, duygularını yazıya geçirmek</t>
  </si>
  <si>
    <t>Kağıt üzerinde kalmak</t>
  </si>
  <si>
    <t>Yapılması kararlaştırıldığı halde uygulanmamak</t>
  </si>
  <si>
    <t>Kalbini kırmak</t>
  </si>
  <si>
    <t>İncitmek, küstürecek kadar üzmek</t>
  </si>
  <si>
    <t>Kalburla su taşımak</t>
  </si>
  <si>
    <t>Verimsiz, verim alınamayacak, olmayacak bir işle uğraşmak</t>
  </si>
  <si>
    <t>Kalburüstü</t>
  </si>
  <si>
    <t>Benzerleri arasında üstün, seçkin, görünür</t>
  </si>
  <si>
    <t>Kale almamak</t>
  </si>
  <si>
    <t>Önemsiz görmek, sözünü etmeye değer bulmamak</t>
  </si>
  <si>
    <t>Kalıbını basmak</t>
  </si>
  <si>
    <t>Bir şeye bütün içtenliği ile güvenmek, bir şeyi doğrulamak</t>
  </si>
  <si>
    <t>Kalıbının adamı olmamak</t>
  </si>
  <si>
    <t>Görünüşünden bekleneni yapamaz olmak, umulanı ortaya koymamak</t>
  </si>
  <si>
    <t>Kalıptan kalıba girmek</t>
  </si>
  <si>
    <t>Çıkar sağlamak için değişik kılıklara girmek</t>
  </si>
  <si>
    <t>Kalp kazanmak</t>
  </si>
  <si>
    <t>Güzel bir davranış ve sözle birilerinin sevgisini kazanmak, ilgisini çekmek</t>
  </si>
  <si>
    <t>Kambersiz düğün olmaz</t>
  </si>
  <si>
    <t>Bir toplantı, eğlence veya iş, en çok ilgili kişiler bulunmadan yapılırsa tadı çıkmaz</t>
  </si>
  <si>
    <t>Kambur üstüne kambur</t>
  </si>
  <si>
    <t>Sıkıntı üstüne sıkıntı, terslik üstüne terslik</t>
  </si>
  <si>
    <t>Kanadı altına almak</t>
  </si>
  <si>
    <t>Korumak, gözetmek, himayesi altına almak</t>
  </si>
  <si>
    <t>Kan ağlamak</t>
  </si>
  <si>
    <t>Büyük bir üzüntü içinde olup yakınmak</t>
  </si>
  <si>
    <t>Kanat germek</t>
  </si>
  <si>
    <t>Birini korumak, gözetimi altına almak</t>
  </si>
  <si>
    <t>Kan başına sıçramak</t>
  </si>
  <si>
    <t>Çok sinirlenmek, öfkelenmek</t>
  </si>
  <si>
    <t>Kan gövdeyi götürmek</t>
  </si>
  <si>
    <t>Çok kan akıtılmış olmak, çok insan öldürülmek</t>
  </si>
  <si>
    <t>Kanı ağır</t>
  </si>
  <si>
    <t>Davranışları yavaş, sevimsiz, konuşması insana sıkıntı veren, hoşa gitmeyen kimse</t>
  </si>
  <si>
    <t>Kanı bozuk</t>
  </si>
  <si>
    <t>Soysuz, iğrenç işler yapmaktan geri durmayan</t>
  </si>
  <si>
    <t>Kanı kaynamak</t>
  </si>
  <si>
    <t>Hareketli, coşkun olma</t>
  </si>
  <si>
    <t>Kanı pahasına</t>
  </si>
  <si>
    <t>Yaralanmayı veya öldürülmeyi göze alarak</t>
  </si>
  <si>
    <t>Kanıyla ödemek</t>
  </si>
  <si>
    <t>Yaptığı işin cezasını hayatıyla ödemek</t>
  </si>
  <si>
    <t>Kan kusmak</t>
  </si>
  <si>
    <t>Çok eziyet, sıkıntı çekmek</t>
  </si>
  <si>
    <t>Kan kusturmak</t>
  </si>
  <si>
    <t>Çok büyük sıkıntı ve eziyet çektirmek</t>
  </si>
  <si>
    <t>Kanlı bıçaklı olmak</t>
  </si>
  <si>
    <t>Birbirlerinin kanını dökecek, birbirlerini öldürecek kadar birbirlerine düşman olmak</t>
  </si>
  <si>
    <t>Kanlı canlı</t>
  </si>
  <si>
    <t>Sağlıklı, sapasağlam, dinç ve diri olduğu yüzünden belli olan</t>
  </si>
  <si>
    <t>Kan ter içinde kalmak</t>
  </si>
  <si>
    <t>Çok yorgun, terli, bitkin ve perişan durumda olmak</t>
  </si>
  <si>
    <t>Kapağı atmak</t>
  </si>
  <si>
    <t>Sıkıntılı bir yerden kurtulup rahat edeceği bir yere kavuşmak</t>
  </si>
  <si>
    <t>Kapı dışarı etmek</t>
  </si>
  <si>
    <t>Kovmak, dışarı atmak</t>
  </si>
  <si>
    <t>Kapısını aşındırmak</t>
  </si>
  <si>
    <t>İstediğini elde edinceye kadar birinin yanına çok sık gidip gelmek</t>
  </si>
  <si>
    <t>Kara çalmak</t>
  </si>
  <si>
    <t>Birine iftira etmek, leke sürmek, haksız yere suçlamak</t>
  </si>
  <si>
    <t>Kara gün dostu</t>
  </si>
  <si>
    <t>Yalnız iyi günlerde değil sıkıntılı, üzücü, düşkünlük günlerinde de insanın yardımına koşan, dostunu yalnız bırakmayan kimse</t>
  </si>
  <si>
    <t>Karalar bağlamak</t>
  </si>
  <si>
    <t>Bir felaket dolayısıyla yas tutmak</t>
  </si>
  <si>
    <t>Karaman’ın koyunu sonra çıkar oyunu</t>
  </si>
  <si>
    <t>Dış görünüşe aldanmamalı, bir kişi ya da iş olağan görünebilir, ancak altından neler çıkabileceği hiç belli olmaz, o sonra görünür.</t>
  </si>
  <si>
    <t>Karda gezip izini belli etmemek</t>
  </si>
  <si>
    <t>Kimsenin sezemeyeceği biçimde gizli bir iş çevirmek, uygunsuz işler yapmak</t>
  </si>
  <si>
    <t>Kargacık burgacık</t>
  </si>
  <si>
    <t>Eğri büğrü, kötü, okunması güç, çarpık, düzensiz</t>
  </si>
  <si>
    <t>Kardeş payı yapmak</t>
  </si>
  <si>
    <t>Eşit oranlarda bölmek, paylaştırmak</t>
  </si>
  <si>
    <t>Karınca duası gibi</t>
  </si>
  <si>
    <t>Çok küçük, sık ve okunaksız, birbirine girmiş</t>
  </si>
  <si>
    <t>Karınca yuvası gibi kaynamak</t>
  </si>
  <si>
    <t>Çok kalabalık ve hareketli olmak</t>
  </si>
  <si>
    <t>Karınca kararınca</t>
  </si>
  <si>
    <t>Az, önemsiz ve küçük de olsa, gücü yettiği kadar, elinden geldiğince</t>
  </si>
  <si>
    <t>Karman çorman</t>
  </si>
  <si>
    <t>Karmakarışık, çok karışık, düzensiz</t>
  </si>
  <si>
    <t>Karnı geniş</t>
  </si>
  <si>
    <t>Hiçbir şeyi tasa etmeyen, titizlenmeyen, gamsız</t>
  </si>
  <si>
    <t>Karnı tok</t>
  </si>
  <si>
    <t>sözlerine kanmamak, önem vermemek</t>
  </si>
  <si>
    <t>Karnı tok sırtı pek</t>
  </si>
  <si>
    <t>Geçimi iyi, hali vakti yerinde, para sıkıntısı olmayan</t>
  </si>
  <si>
    <t>Karnı zil çalmak</t>
  </si>
  <si>
    <t>Çok acıkmış olmak</t>
  </si>
  <si>
    <t>Kaş göz etmek</t>
  </si>
  <si>
    <t>Kaş ve göz hareketleriyle bir işaret vermeye, istediğini bu yolla anlatmaya çalışmak</t>
  </si>
  <si>
    <t>Kaşıkla yedirip, sapıyla göz çıkarmak</t>
  </si>
  <si>
    <t>Bir iyilik yaptıktan sonra, bu iyiliği hiçe indirecek bir kötülük yapmak</t>
  </si>
  <si>
    <t>Kaşla göz arasında</t>
  </si>
  <si>
    <t>Çok çabuk, kimsenin sezmesine fırsat vermeyecek kadar az bir zaman içinde</t>
  </si>
  <si>
    <t>Kaş yapayım derken göz çıkarmak</t>
  </si>
  <si>
    <t>İşi düzelteyim, bir iyilik yapayım derken büsbütün bozmak ve büyük bir zarar vermek</t>
  </si>
  <si>
    <t>Katı yürekli</t>
  </si>
  <si>
    <t>Acımasız, merhametsiz</t>
  </si>
  <si>
    <t>Kayıtsız kalmak</t>
  </si>
  <si>
    <t>Umursamamak, önem vermemek, ilgi göstermemek</t>
  </si>
  <si>
    <t>Kazan kaldırmak</t>
  </si>
  <si>
    <t>Yönetime karşı topluca karşı gelmek, baş kaldırmak</t>
  </si>
  <si>
    <t>Kazık yutmuş gibi</t>
  </si>
  <si>
    <t>Dimdik</t>
  </si>
  <si>
    <t>Kazın ayağı öyle değil</t>
  </si>
  <si>
    <t>Durum veya meselenin sanılan gibi olmaması</t>
  </si>
  <si>
    <t>Keçileri kaçırmak</t>
  </si>
  <si>
    <t>Düşünme yeteneğini kaybetmek, aklını oynatmak, delirmek</t>
  </si>
  <si>
    <t>Kedi ciğere bakar gibi (bakmak)</t>
  </si>
  <si>
    <t>İmrenerek, iştahla, ele geçirme isteği ile bakmak</t>
  </si>
  <si>
    <t>Kedi gibi dört ayak üstüne düşmek</t>
  </si>
  <si>
    <t>En zor, en tehlikeli durumdan zarar görmeden kurtulmak</t>
  </si>
  <si>
    <t>Kedi olalı bir fare tuttu</t>
  </si>
  <si>
    <t>İlk defa, neden sonra kendisinden beklenen bir iş yapabildi</t>
  </si>
  <si>
    <t>Kefeni yırtmak</t>
  </si>
  <si>
    <t>Ağır bir hasta ölüm tehlikesini atlamak</t>
  </si>
  <si>
    <t>Kel başa şimşir tarak</t>
  </si>
  <si>
    <t>Pek çok ihtiyaç giderilmeyi beklerken gereksiz özenti ve gösteriş</t>
  </si>
  <si>
    <t>Keli görünmek</t>
  </si>
  <si>
    <t>Bir kabahati, kusuru ortaya çıkmak</t>
  </si>
  <si>
    <t>Kelle götürür gibi</t>
  </si>
  <si>
    <t>Gerekli olmayan bir acelecilikle, bir şey ulaştıracakmış gibi çok hızlı koşarak</t>
  </si>
  <si>
    <t>Kelleyi koltuğuna almak</t>
  </si>
  <si>
    <t>Ölümü göze alarak bir işe kalkışmak</t>
  </si>
  <si>
    <t>Tutumlu davranmak, açlığa ve susuzluğa katlanmak</t>
  </si>
  <si>
    <t>Kem küm etmek</t>
  </si>
  <si>
    <t>Anlatmak istediğini açık seçik ifade edememek, bir soru karşısında bocalayıp cevap bulamayarak anlamsız sözler söylemek</t>
  </si>
  <si>
    <t>Kendi halinde (olmak)</t>
  </si>
  <si>
    <t>Sessiz, hiçbir şeye karışmayan, karışmak istemeyen, sakin (kimse)</t>
  </si>
  <si>
    <t>Kendi kendine gelin güvey olmak</t>
  </si>
  <si>
    <t>Başkalarının ne diyeceğini hesaba katmadan, bir işi sadece kendi başına tasarlayıp olmuş sayarak sevinmek</t>
  </si>
  <si>
    <t>Kendi kendini yemek</t>
  </si>
  <si>
    <t>İstediği iş olmadı diye gizli gizli üzülmek, kaygı duymak</t>
  </si>
  <si>
    <t>Kendinden geçmek</t>
  </si>
  <si>
    <t>Kendini kaybetmek, bayılmak, bilinci işlemez olmak</t>
  </si>
  <si>
    <t>Kendinden pay biçmek</t>
  </si>
  <si>
    <t>Bir durumu kendi durumu ile karşılaştırmak, değerlendirmek</t>
  </si>
  <si>
    <t>Kendine yedirememek</t>
  </si>
  <si>
    <t>Yapılan bir işi onur kırıcı görüp, kişiliğine dokunmuş sayarak tepki göstermek</t>
  </si>
  <si>
    <t>Kendine yontmak</t>
  </si>
  <si>
    <t>Ortaya çıkan fırsattan yararlanıp başkalarını düşünmeyerek hep kendi çıkarını sağlayacak yönde hareket etmek</t>
  </si>
  <si>
    <t>Kendini ağır satmak</t>
  </si>
  <si>
    <t>Kendisinden yapılması istenen işi, birçok ricadan, birçok ısrardan sonra yapmayı kabul etmek</t>
  </si>
  <si>
    <t>Kendini alamamak</t>
  </si>
  <si>
    <t>İstemeyerek bir işi yapmak durumunda kalmak, yapmamayı edememek, kendini tutamayıp yapmak</t>
  </si>
  <si>
    <t>Kendini ateşe atmak</t>
  </si>
  <si>
    <t>Bilerek zor ve tehlikeli bir işe girişmek</t>
  </si>
  <si>
    <t>Kendini dev aynasında görmek</t>
  </si>
  <si>
    <t>Kendisini olduğundan büyük bir adam sanmak; üstün, yetenekli, güçlü görmek</t>
  </si>
  <si>
    <t>Kendini kaptırmak</t>
  </si>
  <si>
    <t>Bir şeyin etkisinden kendini kurtaramamak</t>
  </si>
  <si>
    <t>Kendini toplamak</t>
  </si>
  <si>
    <t>Kötü, bozuk olan durumunu düzeltmek</t>
  </si>
  <si>
    <t>Kendini tutamamak</t>
  </si>
  <si>
    <t>Bir durum karşısında sessiz ve heyecana kapılmadan durmayı başaramamak, kendine hakim olamamak</t>
  </si>
  <si>
    <t>Kendini vermek</t>
  </si>
  <si>
    <t>Bir şeye bütün varlığıyla bağlanmak, başka şeylerle ilgisini kesip yalnızca onunla ilgilenmek, bir şeyi tüm gücüyle yapmaya çalışmak</t>
  </si>
  <si>
    <t>Kendi yağıyla kavrulmak</t>
  </si>
  <si>
    <t>Elindekiyle yetinmeye, kimseye muhtaç olmadan yaşamaya çalışmak; ihtiyaçlarını kendi karşılayarak kimseden yardım istememek</t>
  </si>
  <si>
    <t>Kene gibi yapışmak</t>
  </si>
  <si>
    <t>akasını bir türlü bırakmamak; istenmediği hâlde, çıkar sağladığı için birinin peşini bırakmamak</t>
  </si>
  <si>
    <t>Kesenin ağzını açmak</t>
  </si>
  <si>
    <t>Bol para harcamaya başlamak</t>
  </si>
  <si>
    <t>Keyfinin kahyası (olmamak)</t>
  </si>
  <si>
    <t>Birisine karışmaya hakkı olmamak, istediği gibi yaşamasına engel olmamak</t>
  </si>
  <si>
    <t>Keyif çatmak</t>
  </si>
  <si>
    <t>Neşeli olmak, hoş ve eğlenceli zaman geçirmek</t>
  </si>
  <si>
    <t>Keyif ehli</t>
  </si>
  <si>
    <t>Rahatına düşkün kimse, zevkinden bol bol yararlanan</t>
  </si>
  <si>
    <t>Kılı kırk yarmak</t>
  </si>
  <si>
    <t>Titizlenmek, çok dikkat ederek en ince ayrıntılarına kadar incelemek, önemle üstünde durmak</t>
  </si>
  <si>
    <t>Kılına dokunmamak</t>
  </si>
  <si>
    <t>Bir kimseye, zarar verebilecek en ufak davranıştan bile kaçınmak</t>
  </si>
  <si>
    <t>Kılını bile kıpırdatmamak</t>
  </si>
  <si>
    <t>Bir durum karşısında en küçük bir tepki bile göstermemek, ilgisiz kalmak, harekete geçmemek</t>
  </si>
  <si>
    <t>Kıl payı (kalmak)</t>
  </si>
  <si>
    <t>Çok az, az bir fark (kalmak)</t>
  </si>
  <si>
    <t>Kırk dereden su getirmek</t>
  </si>
  <si>
    <t>Birini kandırmak için çok dolambaçlı gerekçeler ileri sürmek, ikna edebilmek için çok uğraşmak</t>
  </si>
  <si>
    <t>Kırklara kırışmak</t>
  </si>
  <si>
    <t>Bir kimse artık ortalıkta görünmez olmak</t>
  </si>
  <si>
    <t>Kırk tarakta bezi bulunmak</t>
  </si>
  <si>
    <t>Birbirinden farklı birçok işle uğraşmak, birçok ilişkisi bulunmak, gizli ilişkileri olmak</t>
  </si>
  <si>
    <t>Kısmetini (nimetini) ayağıyla tepmek</t>
  </si>
  <si>
    <t>Kavuşacağı iyi bir durumu, kıymetini bilmeyerek reddetmek; istememek, değerlendirememek</t>
  </si>
  <si>
    <t>Kıssadan hisse almak</t>
  </si>
  <si>
    <t>Bir olaydan, anlatılan bir hikâyeden ders almak</t>
  </si>
  <si>
    <t>Kıt kanaat (geçinmek)</t>
  </si>
  <si>
    <t>Yoksulluk içinde, zar zor ve güçlükle (geçinmek)</t>
  </si>
  <si>
    <t>Kıvamına gelmek</t>
  </si>
  <si>
    <t>En uygun zamanında olmak, gerekli ve istenilen şartlar yerine gelmek, istenilen duruma gelmek</t>
  </si>
  <si>
    <t>Kıyamet kopmak</t>
  </si>
  <si>
    <t>Bir yerde çok gürültü ve patırtı kavga, telaş olmak</t>
  </si>
  <si>
    <t>Kızarıp bozarmak</t>
  </si>
  <si>
    <t>Utanarak renkten renge girmek, kimi duyguların etkisiyle yüzünün rengi değişmek</t>
  </si>
  <si>
    <t>Kızıl (kızılca) kıyamet kopmak</t>
  </si>
  <si>
    <t>Bir meselede büyük, aşırı, gürültülü bir kavgaya yol açmak; yüksek sesli tartışma başlatmak</t>
  </si>
  <si>
    <t>Kilit noktası</t>
  </si>
  <si>
    <t>Bütün işlerin çözümlenmesi ona bağlı olan önemli unsur, üzerinde durulması gereken en önemli nokta, makam veya yer</t>
  </si>
  <si>
    <t>Kimseye eyvallah etmemek</t>
  </si>
  <si>
    <t>Kimseden yardım ve iyilik beklememek, kimsenin minneti altına girmemek</t>
  </si>
  <si>
    <t>Kirli çamaşırlarını ortaya dökmek</t>
  </si>
  <si>
    <t>Ayıp, suç ve kusurlarını, gizli kalmış yolsuzluklarını açığa çıkarmak; açıklamak, söylemek</t>
  </si>
  <si>
    <t>Kitabına uydurmak</t>
  </si>
  <si>
    <t>Yasal olmayan bir işi kimi boşluklardan yararlanarak yasalmış gibi göstermek</t>
  </si>
  <si>
    <t>Kokusu çıkmak</t>
  </si>
  <si>
    <t>Gizli yapılmış bir iş, daha sonra herkes tarafından bilinir olmaya başlamak</t>
  </si>
  <si>
    <t>Kolaçan etmek</t>
  </si>
  <si>
    <t>Çevresini ya da kendisinden istenilen yeri dolaşıp ne var ne yok diye bakmak, olup biteni anlamak amacıyla dolaşmak</t>
  </si>
  <si>
    <t>Kol kanat olmak</t>
  </si>
  <si>
    <t>Yardım etmek, gözetmek, bir kimseyi koruyuculuğu altına almak</t>
  </si>
  <si>
    <t>Koltukları kabarmak</t>
  </si>
  <si>
    <t>Kendisine ya da yakınlarına yapılan övgüden ötürü kıvanç duyup büyüklenmek, böbürlenmek</t>
  </si>
  <si>
    <t>Kolu kanadı kırılmak</t>
  </si>
  <si>
    <t>Çaresiz duruma düşmek, bir şey yapamaz hale gelmek</t>
  </si>
  <si>
    <t>Korktuğu başına gelmek</t>
  </si>
  <si>
    <t>Endişe duyduğu, kaygılandığı, olmasını istemediği şeyle karşı karşıya gelmek</t>
  </si>
  <si>
    <t>Koyun kaval dinler gibi</t>
  </si>
  <si>
    <t>Düşünmeden, hiçbir şeyi anlamadan, ne denildiğini kavramadan dinlemek</t>
  </si>
  <si>
    <t>Kozunu paylaşmak</t>
  </si>
  <si>
    <t>Aradaki anlaşmazlığı zora başvurarak, üstün olan güce dayandırarak çözümlemek, sona erdirmek</t>
  </si>
  <si>
    <t>Kök salmak</t>
  </si>
  <si>
    <t>Bir yere iyice, ayrılmamacasına yerleşmek</t>
  </si>
  <si>
    <t>Kök söktürmek</t>
  </si>
  <si>
    <t>Uğraştırmak, güçlük çıkarmak, engel olmak</t>
  </si>
  <si>
    <t>Kör dövüşü</t>
  </si>
  <si>
    <t>Sonuç alınamayacak ve birbirini engelleyecek biçimde, bir birinden habersiz düzensiz ve uyumsuz çabalama</t>
  </si>
  <si>
    <t>Köstek olmak</t>
  </si>
  <si>
    <t>Engel olmak</t>
  </si>
  <si>
    <t>Körü körüne</t>
  </si>
  <si>
    <t>Düşünüp taşınmadan, nasıl sonuçlanacağını hesaplamadan, dikkat etmeden</t>
  </si>
  <si>
    <t>Kraldan çok kralcı olmak</t>
  </si>
  <si>
    <t>Birinin davasını ondan daha çok savunur olmak</t>
  </si>
  <si>
    <t>Kucak açmak</t>
  </si>
  <si>
    <t>İhtiyaç sahibi birine sığınacak yer vermek, onu korumak</t>
  </si>
  <si>
    <t>Kukumav kuşu gibi</t>
  </si>
  <si>
    <t>Yapayalnız, tek başına</t>
  </si>
  <si>
    <t>Kulağı delik</t>
  </si>
  <si>
    <t>Olup bitenleri çabuk haber alan, hemen her şeyden haberi olan</t>
  </si>
  <si>
    <t>Kulağı kirişte (olmak)</t>
  </si>
  <si>
    <t>Söylenecek sözü, gelecek haberi dikkatlice (beklemek)</t>
  </si>
  <si>
    <t>Kulağına çalınmak</t>
  </si>
  <si>
    <t>Bir söz, bir haber başkasına söylenirken kendisi de şöyle böyle duymak</t>
  </si>
  <si>
    <t>Kulağına kar suyu kaçmak</t>
  </si>
  <si>
    <t>Rahatını bozan bir haber işitmek, sıkışık bir duruma düşmek</t>
  </si>
  <si>
    <t>Kulağına küpe olmak</t>
  </si>
  <si>
    <t>Başına gelen bir işten, gördüğü olaydan ders alıp hiç unutmamak</t>
  </si>
  <si>
    <t>Kulağını açmak</t>
  </si>
  <si>
    <t>Bütün dikkatini vererek dinlemek, söylenenlere dikkat etmek</t>
  </si>
  <si>
    <t>Kulak asmamak</t>
  </si>
  <si>
    <t>Aldırıp önemsememek, dinlememek</t>
  </si>
  <si>
    <t>Kulak dolgunluğu</t>
  </si>
  <si>
    <t>Duya duya elde edinilen yarı buçuk bilgi</t>
  </si>
  <si>
    <t>Kulak kabartmak</t>
  </si>
  <si>
    <t>Çaktırmadan, belli etmemeye çalışarak dinlemek</t>
  </si>
  <si>
    <t>Kulak kesilmek</t>
  </si>
  <si>
    <t>Çok iyi, bütün dikkatini vererek dinlemek; dikkatini toplayarak duymaya çalışmak</t>
  </si>
  <si>
    <t>Kulaklarını çınlatmak</t>
  </si>
  <si>
    <t>Birini iyi duygularla anmak</t>
  </si>
  <si>
    <t>Kul köle (veya kurban) olmak</t>
  </si>
  <si>
    <t>Tam bir doğruluk içinde gönülden bağlanmak, bağlılığın gerektirdiği fedakarlığı yapmaya hazır olmak</t>
  </si>
  <si>
    <t>Kulp takmak</t>
  </si>
  <si>
    <t>Bir kusur, bir bahane bulmak</t>
  </si>
  <si>
    <t>Kumpas kurmak</t>
  </si>
  <si>
    <t>Birini aldatmak için tuzak kurmak, gizli bir iş düzenlemek</t>
  </si>
  <si>
    <t>Kurtlarını dökmek</t>
  </si>
  <si>
    <t>Öteden beri yapmak istediği şeyi bol bol yapıp hevesini almak</t>
  </si>
  <si>
    <t>Kurt masalı okumak</t>
  </si>
  <si>
    <t>İnandırıcı, gereksiz, asılsız sözler (söylemek)</t>
  </si>
  <si>
    <t>Kuru iftira</t>
  </si>
  <si>
    <t> Hiçbir kanıtı olmayan suçlama</t>
  </si>
  <si>
    <t>Kuş beyinli</t>
  </si>
  <si>
    <t>Akılsız, aptal, ahmak</t>
  </si>
  <si>
    <t>Kuş kadar canı olmak</t>
  </si>
  <si>
    <t>Küçük, cılız, zayıf, çelimsiz bir vücuda sahip olmak</t>
  </si>
  <si>
    <t>Kuş sütüyle beslemek</t>
  </si>
  <si>
    <t>En pahalı, değerli az bulunur besinlerle yiyip içirmek</t>
  </si>
  <si>
    <t>Kuş uçmaz, kervan geçmez</t>
  </si>
  <si>
    <t>Çok ıssız, sapa, kır, insanın uğramadığı yer</t>
  </si>
  <si>
    <t>Kuş uçurmamak</t>
  </si>
  <si>
    <t>Hiç kimsenin geçmesine, kaçmasına izin vermemek; imkân tanımamak, bunun için çok dikkatli davranmak</t>
  </si>
  <si>
    <t>Kuvvetten düşmek (kesilmek)</t>
  </si>
  <si>
    <t>Gücü iyice azalmak</t>
  </si>
  <si>
    <t>Kuyruğuna basmak</t>
  </si>
  <si>
    <t>Birini tahrik etmek, incitip saldırmasına yol açmak</t>
  </si>
  <si>
    <t>Kuyruk sallamak</t>
  </si>
  <si>
    <t>birisine yaranmak için yapmacık davranışlarda bulunup şirin görünmeye çalışmak</t>
  </si>
  <si>
    <t>Kuyusunu kazmak</t>
  </si>
  <si>
    <t>Birinin kötü duruma düşmesi, felakete uğraması, zarar görmesini sağlamak için zemin hazırlamak, tuzak kurmak</t>
  </si>
  <si>
    <t>Küçük dilini yutmak</t>
  </si>
  <si>
    <t>Çok şaşmak, hayrete düşmek, donakalmak, hiçbir şey söyleyemez hale gelmek</t>
  </si>
  <si>
    <t>Küçük düşürmek</t>
  </si>
  <si>
    <t>Onurunu kırmak, birilerinin yanında itibarını sarsmak ve değerini düşürmek</t>
  </si>
  <si>
    <t>Küçük görmek</t>
  </si>
  <si>
    <t>Önemsememek, değer vermemek</t>
  </si>
  <si>
    <t>Külahını ters giydirmek</t>
  </si>
  <si>
    <t>Çok kurnaz olmak; oyuna getirmek</t>
  </si>
  <si>
    <t>Külahları değişmek</t>
  </si>
  <si>
    <t>Araları bozulmak, bozuşmak</t>
  </si>
  <si>
    <t>Kül kesilmek</t>
  </si>
  <si>
    <t>Heyecan ve korkudan yüzünün rengi atmak, solmak</t>
  </si>
  <si>
    <t>Külünü (göğe) savurmak:</t>
  </si>
  <si>
    <t>Bir şeyi tamamiyle bitirip yok etmek, harcayıp tüketmek, telef edip bir şey bırakmamak</t>
  </si>
  <si>
    <t>Kül yutmamak</t>
  </si>
  <si>
    <t>Oyuna gelmemek, tuzağa düşmemek, kurnazca yapılan bir hileye aldanmamak</t>
  </si>
  <si>
    <t>Künyesi bozuk</t>
  </si>
  <si>
    <t>Eskiden kötü durumları görülmüş olan, kötü işlere girmiş bulunan</t>
  </si>
  <si>
    <t>Küplere binmek</t>
  </si>
  <si>
    <t>Haddinden fazla öfkelenme, kızmak, sağa sola ateş saçmak</t>
  </si>
  <si>
    <t>Lafa boğmak</t>
  </si>
  <si>
    <t>Birinin söz söylemesine fırsat vermeyip meseleyi gereksiz ve boş sözlerle anlaşılmaz kılmak, gürültüye getirip uzatmak</t>
  </si>
  <si>
    <t>Laf (söz) altında kalmamak</t>
  </si>
  <si>
    <t>Bir münakaşa sırasında söylenen her dokunaklı söze karşılık vermek, söz altında ezilmemek</t>
  </si>
  <si>
    <t>Laf atmak</t>
  </si>
  <si>
    <t>Dokunaklı sözlerle sataşmak, uzaktan işittirmek</t>
  </si>
  <si>
    <t>Lafa tutmak</t>
  </si>
  <si>
    <t>Birini konuşarak, gereksiz meseleler anlatarak işinden alıkoymak</t>
  </si>
  <si>
    <t>Lafı (sözü) ağzına tıkamak</t>
  </si>
  <si>
    <t>Birinin sözünü bitirmesine fırsat vermemek, onu susmak zorunda bırakmak, konuşmasını önlemek</t>
  </si>
  <si>
    <t>Lafı (sözü) ağzında gevelemek</t>
  </si>
  <si>
    <t>Söylemek istediğini açık olarak bir türlü söyleyememek, şundan bundan bahsetmek</t>
  </si>
  <si>
    <t>Lafı ağzında kalmak</t>
  </si>
  <si>
    <t>Söyleyeceğini söylemeye zaman bulamamak, konuşmasını bitirememek</t>
  </si>
  <si>
    <t>Lafı (sözü) çevirmek</t>
  </si>
  <si>
    <t>Konuşmasının sakıncalı bir biçim aldığını fark edince söze başka bir yön vermek, başka konuya geçmek</t>
  </si>
  <si>
    <t>Lafını (sözünü) bilmek</t>
  </si>
  <si>
    <t>Tutarlı ve mantıklı konuşmak, sakıncalı olmayan ve birini kırmayan sözler söylemek, saygılı ve yerinde konuşmak</t>
  </si>
  <si>
    <t>Laf işitmek</t>
  </si>
  <si>
    <t>Birisi tarafından paylanmak, azarlanmak</t>
  </si>
  <si>
    <t>Laf (söz) taşımak</t>
  </si>
  <si>
    <t>Aralarını açmak maksadıyla birinin bir kimse hakkında söylediği hoş olmayan sözlerini o kimseye ulaştırmak, söz getirip götürmek</t>
  </si>
  <si>
    <t>Laf (söz) yetiştirmek</t>
  </si>
  <si>
    <t>Bir söze karşılık vermekte gecikmemek, durmadan konuşmak</t>
  </si>
  <si>
    <t>Lamı cimi yok</t>
  </si>
  <si>
    <t>Hiçbir bahane, itiraz, mazeret, duraksama, karşı gelme yok</t>
  </si>
  <si>
    <t>Leb demeden leblebiyi anlamak</t>
  </si>
  <si>
    <t>Daha sözün başında ne demek istediğini anlamak, anlayışlı ve kavrayışlı olmak</t>
  </si>
  <si>
    <t>Leke sürmek</t>
  </si>
  <si>
    <t>Suç yüklemek, birinin onurunu sarsacak biçimde iftirada bulunmak</t>
  </si>
  <si>
    <t>Leyleğin yuvadan attığı yavru</t>
  </si>
  <si>
    <t>Yakınlarından ilgi görmeyen, çevresinin uzaklaştırdığı kimse</t>
  </si>
  <si>
    <t>Lokma ağzında büyümek</t>
  </si>
  <si>
    <t>Herhangi bir sebepten, acı ya da üzüntüden dolayı lokmasını yutamamak, yiyememek</t>
  </si>
  <si>
    <t>Madalyanın ters (öteki) yüzü</t>
  </si>
  <si>
    <t>Olumlu bir olay, iş ya da durumun düşünülmesi, hesaba katılması gereken olumsuz yönü</t>
  </si>
  <si>
    <t>Mahşer midillisi</t>
  </si>
  <si>
    <t>Kısa boylu, fitneci kimse</t>
  </si>
  <si>
    <t>Mahşer gibi</t>
  </si>
  <si>
    <t>Çok kalabalık</t>
  </si>
  <si>
    <t>Mal bulmuş mağribi gibi</t>
  </si>
  <si>
    <t>Büyük bir zenginliğe kavuşmuşcasına büyük sevinç ve coşku ile</t>
  </si>
  <si>
    <t>Mantar gibi yerden bitmek</t>
  </si>
  <si>
    <t>Birdenbire ya da kendiliğinden ortaya çıkmak</t>
  </si>
  <si>
    <t>Maraza çıkarmak</t>
  </si>
  <si>
    <t>Anlaşmazlığa yol açacak işler yapmak, kavgaya yol açmak</t>
  </si>
  <si>
    <t>Masal okumak</t>
  </si>
  <si>
    <t>İnandırıcı olmayan, oyalayıcı ve avutucu sözler söylemek</t>
  </si>
  <si>
    <t>Maskara olmak</t>
  </si>
  <si>
    <t>Gülünç hallere düşmek, alay konusu olmak</t>
  </si>
  <si>
    <t>Maskesi düşmek</t>
  </si>
  <si>
    <t>Gerçek yüzü, kimliği, niteliği ortaya çıkmak</t>
  </si>
  <si>
    <t>Masrafa girmek</t>
  </si>
  <si>
    <t>Çok para harcamak</t>
  </si>
  <si>
    <t>Maşallahı var</t>
  </si>
  <si>
    <t>Bir şey ya da kimsenin iyi durumda olması</t>
  </si>
  <si>
    <t>Matrak geçmek</t>
  </si>
  <si>
    <t>Alay etmek, karşısındakiyle eğlenmek, dalga geçmek</t>
  </si>
  <si>
    <t>Maval okumak</t>
  </si>
  <si>
    <t>Tutarlı, inandırıcı olmayan, yalan sözler söylemek</t>
  </si>
  <si>
    <t>Mayası bozuk</t>
  </si>
  <si>
    <t>Karaktersiz, kötü yaradılışlı, aşağılık (kişi)</t>
  </si>
  <si>
    <t>Maymun iştahlı</t>
  </si>
  <si>
    <t>Kararsız, hevesi çabuk geçen; bugün şunu yarın ötekini beğenen</t>
  </si>
  <si>
    <t>Mekik dokumak</t>
  </si>
  <si>
    <t>İki yer arasında durmadan gidip gelmek</t>
  </si>
  <si>
    <t>Mendil açmak</t>
  </si>
  <si>
    <t>Merhabası olmak</t>
  </si>
  <si>
    <t>Birisiyle selamlaşacak kadar tanışıklığı, yakınlığı bulunmak</t>
  </si>
  <si>
    <t>Merhabayı kesmek</t>
  </si>
  <si>
    <t>Biriyle ilgiyi kesmek, arkadaşlığa son vermek</t>
  </si>
  <si>
    <t>Mesken tutmak</t>
  </si>
  <si>
    <t>Yerleşmek</t>
  </si>
  <si>
    <t>Meteliğe kurşun atmak</t>
  </si>
  <si>
    <t>Parasız pulsuz kalmak, hiç parası olmamak</t>
  </si>
  <si>
    <t>Metelik vermemek</t>
  </si>
  <si>
    <t>Değer vermemek, umursamamak, aldırış etmemek</t>
  </si>
  <si>
    <t>Meydanı boş bulmak</t>
  </si>
  <si>
    <t>Kendisine mani olacak kimse bulunmadığı için aşırı davranışlarda bulunmak, bir şeyden çekinmemek</t>
  </si>
  <si>
    <t>Meydan okumak</t>
  </si>
  <si>
    <t>Kavga ya da yarışmaya çağırmak, korkmadığını ve çekinmediğini açıkça bildirmek</t>
  </si>
  <si>
    <t>Mezhebi geniş</t>
  </si>
  <si>
    <t>Namus konusunda gerekli olan titizliği göstermeyen, kadın-erkek ilişkilerinde dini kaidelere aldırış etmeyen, geniş davranan</t>
  </si>
  <si>
    <t>Mezar kaçkını</t>
  </si>
  <si>
    <t>Çok zayıf, bitkin, güçsüz düşmüş kişi</t>
  </si>
  <si>
    <t>Mırın kırın etmek</t>
  </si>
  <si>
    <t>Bir isteği yerine getirmemek için çeşitli bahaneler ileri sürüp nazlanmak</t>
  </si>
  <si>
    <t>Mızıkçılık etmek</t>
  </si>
  <si>
    <t>Bir oyunu ya da birlikte yapılan bir işi çeşitli bahaneler ileri sürerek bozmaya çalışmak, razı olmamak</t>
  </si>
  <si>
    <t>Muhallebi çocuğu</t>
  </si>
  <si>
    <t>Nazlı, el bebek gül bebek büyütülmüş, dayanıksız, narin kimse</t>
  </si>
  <si>
    <t>Mumla aramak</t>
  </si>
  <si>
    <t>Çok istek ve özlemle aramak</t>
  </si>
  <si>
    <t>Muradına ermek</t>
  </si>
  <si>
    <t>Dileği gerçekleşmek, çok istediği şeye kavuşmak</t>
  </si>
  <si>
    <t>Mürekkebi kurumadan bozmak</t>
  </si>
  <si>
    <t>Bir kararı, sözleşmeyi, anlaşmayı yazılmasından kısa bir süre sonra bozmak</t>
  </si>
  <si>
    <t>Mürekkep yalamış</t>
  </si>
  <si>
    <t>Az çok öğrenim görmüş, okuyup yazmış, belli bir kültüre sahip olmuş kimse</t>
  </si>
  <si>
    <t>Nabza göre şerbet vermek</t>
  </si>
  <si>
    <t>Birinin hoşuna gidecek, eğilimlerine cevap verecek biçimde davranmak</t>
  </si>
  <si>
    <t>Nalıncı keseri gibi kendine yontmak</t>
  </si>
  <si>
    <t>Hemen her işte kendi çıkarını düşünerek hareket etmek</t>
  </si>
  <si>
    <t>Nane molla</t>
  </si>
  <si>
    <t>Dirençsiz, güçsüz kimse</t>
  </si>
  <si>
    <t>Naza çekmek</t>
  </si>
  <si>
    <t>Kendini ağır satmak, bir isteği yerine getirmekte yapmacıklı davranışlarla isteksiz gibi davranmak</t>
  </si>
  <si>
    <t>Nazı geçmek</t>
  </si>
  <si>
    <t>İstediklerini yaptıracak kadar hatırı sayılır olmak</t>
  </si>
  <si>
    <t>Nefes aldırmamak</t>
  </si>
  <si>
    <t>Dinlenmesine fırsat vermemek, sıkıştırmak, rahat bırakmamak</t>
  </si>
  <si>
    <t>Nefes tüketmek</t>
  </si>
  <si>
    <t>Bir şeyi anlatmaktan çok yorulmak</t>
  </si>
  <si>
    <t>Nefsine yedirememek</t>
  </si>
  <si>
    <t>Kendine yakıştıramamak, o şeyi yapmayı kendisi için onur kırıcı, ağır bulmak</t>
  </si>
  <si>
    <t>Ne şiş yansın ne kebap</t>
  </si>
  <si>
    <t>İki taraf da korunsun, gücendirilmesin, ikisinin de zarar görmeyeceği bir yol bulunsun</t>
  </si>
  <si>
    <t>Ne tadı var ne tuzu</t>
  </si>
  <si>
    <t>Hoşa gidecek, zevk alınacak, beğenilecek bir şey değil</t>
  </si>
  <si>
    <t>Nevri dönmek</t>
  </si>
  <si>
    <t>Çok öfkelenmek, sinirlenip kızmak ve bu sebeple rengi değişmek</t>
  </si>
  <si>
    <t>Ne yardan geçer ne serden</t>
  </si>
  <si>
    <t>İstediği şey fedakârlığı gerektirdiği hâlde, fedakârlığa yanaşmayan ama istediğinden de vazgeçmeyen</t>
  </si>
  <si>
    <t>Ne yer ne yedirir</t>
  </si>
  <si>
    <t>Kimsenin yararlanmasını istemez, kendi de yararlanmaz</t>
  </si>
  <si>
    <t>Nuh der peygamber demez</t>
  </si>
  <si>
    <t>Son derece inatçıdır, düşüncelerini bir türlü değiştirmez, söylediklerinde ve inançlarında direnir</t>
  </si>
  <si>
    <t>Nuh Nebi’den kalma</t>
  </si>
  <si>
    <t>Çok eski modası geçmiş</t>
  </si>
  <si>
    <t>Numara yapmak</t>
  </si>
  <si>
    <t>yalandan yapmak, bir şeyi gerçekmiş gibi söyleyerek karşısındakini aldatmak</t>
  </si>
  <si>
    <t>Nutku tutulmak</t>
  </si>
  <si>
    <t>Korkudan, üzüntüden, heyecandan konuşamaz olmak</t>
  </si>
  <si>
    <t>Ocağına düşmek</t>
  </si>
  <si>
    <t>Birine yardım etmesi için yalvarmak, koruması için sığınmak</t>
  </si>
  <si>
    <t>Ocağına incir dikmek</t>
  </si>
  <si>
    <t>Birinin evini barkını dağıtmak, düzenini alt üst etmek, yuvasını yıkıp toparlanamaz hâle getirmek</t>
  </si>
  <si>
    <t>Ocağını söndürmek</t>
  </si>
  <si>
    <t>Ailenin dağılmasına sebep olmak, çoluk çocuğunu yok etmek</t>
  </si>
  <si>
    <t>Ok yaydan çıkmak</t>
  </si>
  <si>
    <t>Geri dönülemeyecek bir iş yapmak, söz söylemek ya da bir harekette bulunmak</t>
  </si>
  <si>
    <t>Oldu bittiye getirmek</t>
  </si>
  <si>
    <t>aceleyle yaptırmak, geri dönülmesi güç ve imkânsız bir durum oluşturmak</t>
  </si>
  <si>
    <t>Oldu olacak kırıldı nacak</t>
  </si>
  <si>
    <t>Olanlar oldu, iş işten geçti, olanlar geri dönülemeyecek bir durum aldı, bunu kabul etmek gerek</t>
  </si>
  <si>
    <t>Olmayacak duaya amin demek</t>
  </si>
  <si>
    <t>Sonuç vermeyecek bir işle uğraşmak ya da buna destek vermek</t>
  </si>
  <si>
    <t>Oluruna bırakmak</t>
  </si>
  <si>
    <t>Bir işin yapılabildiği, olabildiği kadarıyla yetinmek, müdahale etmeden bekleyip sonucuna ne olursa olsun razı olmak</t>
  </si>
  <si>
    <t>Omuz silkmek</t>
  </si>
  <si>
    <t>Aldırmamak, önem vermemek, benimsememek</t>
  </si>
  <si>
    <t>On parmağında on marifet</t>
  </si>
  <si>
    <t>Çok hünerli, becerikli, ustalığı çok, elinden her iş gelir</t>
  </si>
  <si>
    <t>Onuruna dokunmak</t>
  </si>
  <si>
    <t>Onurunu, haysiyetini incitmek</t>
  </si>
  <si>
    <t>Oralı olmamak</t>
  </si>
  <si>
    <t>Anlamamış, sezmemiş gibi davranmak</t>
  </si>
  <si>
    <t>Ortada kalmak</t>
  </si>
  <si>
    <t>Yersiz yurtsuz kalmak, barınacak yer bulamamak</t>
  </si>
  <si>
    <t>Ortalığı birbirine katmak</t>
  </si>
  <si>
    <t>Kargaşa çıkarmak, herkesi birbirine düşürmek</t>
  </si>
  <si>
    <t>Orta malı</t>
  </si>
  <si>
    <t>Herkesin yararlandığı</t>
  </si>
  <si>
    <t>Ortaya dökmek</t>
  </si>
  <si>
    <t>Gizli olan ne varsa açıklamak</t>
  </si>
  <si>
    <t>O tarakta bezi olmamak</t>
  </si>
  <si>
    <t>Bir şeyle, bir işle ilişiği bulunmamak, o şeyle ilgilenmemek</t>
  </si>
  <si>
    <t>Oyuna gelmek</t>
  </si>
  <si>
    <t>Aldatılmak, tuzağa düşürülmek</t>
  </si>
  <si>
    <t>Oyunbozanlık etmek</t>
  </si>
  <si>
    <t> Mızıkçılık etmek, birlikte yapılması gereken işten tek taraflı vazgeçmek</t>
  </si>
  <si>
    <t>Oyun etmek</t>
  </si>
  <si>
    <t>Aldatmak, kurnazlıkla birini tuzağa düşürmek</t>
  </si>
  <si>
    <t>Öç almak</t>
  </si>
  <si>
    <t>Yapılan bir kötülüğün acısını aynı derecede bir kötülük yaparak çıkarmak</t>
  </si>
  <si>
    <t>Ödü patlamak</t>
  </si>
  <si>
    <t>Ani bir olay sebebiyle çok korkmak</t>
  </si>
  <si>
    <t>Öküzün altında buzağı aramak</t>
  </si>
  <si>
    <t>Kimi sebepler, bahaneler uydurarak suç ve suçlu bulma çabasında olmak</t>
  </si>
  <si>
    <t>Öküz öldü, ortaklık bozuldu</t>
  </si>
  <si>
    <t>Aradaki yakınlık dayanağı kalktı, yakınlık da kalmadı</t>
  </si>
  <si>
    <t>Ölçüyü kaçırmak</t>
  </si>
  <si>
    <t>Uygun derecenin üstüne çıkmak, aşırı gitmek</t>
  </si>
  <si>
    <t>Ölme eşeğim ölme (yaza yonca bitecek)</t>
  </si>
  <si>
    <t>Umutsuz bir bekleyiş</t>
  </si>
  <si>
    <t>Ölü fiyatına</t>
  </si>
  <si>
    <t>Yok pahasına, değerinden çok ucuza, az bir para ile</t>
  </si>
  <si>
    <t>Ölümüne susamak</t>
  </si>
  <si>
    <t>Yapmakta olduğu tehlikeli işte ölümü kendi üzerine çekecek davranışta bulunmak</t>
  </si>
  <si>
    <t>Ölüp ölüp dirilmek</t>
  </si>
  <si>
    <t>Ard arda gelen sıkıntılı, acı veren durumlara düşmek</t>
  </si>
  <si>
    <t>Ömür çürütmek</t>
  </si>
  <si>
    <t>Uzun süre bir şey için emek vermiş olmak, ya da boşuna zaman harcamış olmak</t>
  </si>
  <si>
    <t>Ömür törpüsü</t>
  </si>
  <si>
    <t>İnsanı yıpratan, yoran, sıkıntıya sokan, uzun ve yorucu iş</t>
  </si>
  <si>
    <t>Ön ayak olmak</t>
  </si>
  <si>
    <t>Bir işin yapılmasında ilk başlayan olup herkesi arkasından sürüklemek</t>
  </si>
  <si>
    <t>Öpüp başına koymak</t>
  </si>
  <si>
    <t>Bir şeyi minnetle karşılamak, seve seve kabul etmek</t>
  </si>
  <si>
    <t>Örtbas etmek</t>
  </si>
  <si>
    <t>Kötü bir durumu gizlemek, yayılmasını önlemek</t>
  </si>
  <si>
    <t>Örümcek kafalı</t>
  </si>
  <si>
    <t>Geri düşünceli, yenilikleri kolay kabul etmeyen</t>
  </si>
  <si>
    <t>Özenip bezenmek</t>
  </si>
  <si>
    <t>Çok özen gösterip titizlikle, ayrıntılarına varıncaya değin ele almak</t>
  </si>
  <si>
    <t>Özü sözü bir</t>
  </si>
  <si>
    <t>Düşünceleri, söyledikleri ve yaptıkları bir olan, ne düşünüyorsa onu söyleyen, içi dışı bir olan kimse</t>
  </si>
  <si>
    <t>Pabucu dama atılmak</t>
  </si>
  <si>
    <t>Kendisinden üstün birinin çıkmasıyla gözden düşmek, değer ve itibarını kaybetmek</t>
  </si>
  <si>
    <t>Pabucunu ters giydirmek</t>
  </si>
  <si>
    <t>Güç bir duruma düşürerek telaşlandırmak, bu telaşla kaçmasına sebep olmak</t>
  </si>
  <si>
    <t>Pabuç bırakmamak</t>
  </si>
  <si>
    <t>Yılmamak, korkmayıp yapacağından vazgeçmemek</t>
  </si>
  <si>
    <t>Paçaları sıvamak</t>
  </si>
  <si>
    <t>Bir işi yapmak için hazırlanmak</t>
  </si>
  <si>
    <t>Paçayı kaptırmak</t>
  </si>
  <si>
    <t>Yakalanmak, ele geçmek</t>
  </si>
  <si>
    <t>Paçavrasını çıkarmak</t>
  </si>
  <si>
    <t>Çok hırpalamak, sağlam yerini koymamak, işe yaramaz bir duruma getirmek</t>
  </si>
  <si>
    <t>Paçayı kurtarmak</t>
  </si>
  <si>
    <t>Bir ilişkiden veya önce girişip sonra pişman olduğu bir işten yakasını sıyırmak</t>
  </si>
  <si>
    <t>Palas pandıras</t>
  </si>
  <si>
    <t>Acele olarak, hazırlanmaya zaman bulamadan</t>
  </si>
  <si>
    <t>Palavra atmak</t>
  </si>
  <si>
    <t>Abartarak söylemek, yalan söylemek, olmayacak şeylerden söz etmek</t>
  </si>
  <si>
    <t>Paldır küldür</t>
  </si>
  <si>
    <t>Büyük bir gürültü ile</t>
  </si>
  <si>
    <t>Pamuk ipliği ile bağlamak</t>
  </si>
  <si>
    <t>Etkisi az sürecek, köksüz, geçici bir çözüm yolu bulmak</t>
  </si>
  <si>
    <t>Papara yemek</t>
  </si>
  <si>
    <t>Çok azarlanmak</t>
  </si>
  <si>
    <t>Para babası</t>
  </si>
  <si>
    <t>Çok zengin, parası bol olan</t>
  </si>
  <si>
    <t>Para canlısı</t>
  </si>
  <si>
    <t>Parayı çok seven, paraya düşkün</t>
  </si>
  <si>
    <t>Parasını sokağa atmak</t>
  </si>
  <si>
    <t>Değeri olmayan bir işe ya da mala para vermek</t>
  </si>
  <si>
    <t>Paraya kıymak</t>
  </si>
  <si>
    <t>Gereken yerde para harcamaktan kaçınmamak</t>
  </si>
  <si>
    <t>Paraya para dememek</t>
  </si>
  <si>
    <t>Çok para kazanmak, Bol para harcamak</t>
  </si>
  <si>
    <t>Parmağı ağzında kalmak</t>
  </si>
  <si>
    <t>Çok şaşırmak, hayrete düşmek</t>
  </si>
  <si>
    <t>Parmağına dolamak</t>
  </si>
  <si>
    <t>Bir konuyu her fırsatta, her yerde ele alıp konuşmak, o konu ile uğraşmak</t>
  </si>
  <si>
    <t>Parmağında oynatmak</t>
  </si>
  <si>
    <t>Birine her istediğini yaptırmak, onu kukla gibi kullanmak</t>
  </si>
  <si>
    <t>Parmağını bile oynatmamak</t>
  </si>
  <si>
    <t>Hiç tepki göstermemek, kayıtsız kalmak</t>
  </si>
  <si>
    <t>Parmak basmak</t>
  </si>
  <si>
    <t>Bir nokta üzerine dikkati ya da ilgiyi çekmek</t>
  </si>
  <si>
    <t>Parmak ısırmak</t>
  </si>
  <si>
    <t>Büyük şaşkınlık duymak, hayrete düşmek</t>
  </si>
  <si>
    <t>Parmakla gösterilmek</t>
  </si>
  <si>
    <t>Seçkin, ünlü olmak</t>
  </si>
  <si>
    <t>Parmaklarını yemek</t>
  </si>
  <si>
    <t>Bir yemeğin çok lezzetli olması</t>
  </si>
  <si>
    <t>Patırtı çıkarmak</t>
  </si>
  <si>
    <t>Kavga, kargaşa, gürültü çıkarmak</t>
  </si>
  <si>
    <t>Patlak vermek</t>
  </si>
  <si>
    <t>Gizlenen ya da hoş karşılanmayan bir durum aniden ortaya çıkmak</t>
  </si>
  <si>
    <t>Pay biçmek</t>
  </si>
  <si>
    <t>Bir fikir elde edebilmek için, durumu bir şey ile kıyaslamak</t>
  </si>
  <si>
    <t>Payidar olmak</t>
  </si>
  <si>
    <t>Kalmak, yok olmamak, yaşamak</t>
  </si>
  <si>
    <t>Pay çıkarmak</t>
  </si>
  <si>
    <t>Bir olay ya da davranıştan tecrübe kazanmak, hisse kapmak, tutulacak yolu belirlemek</t>
  </si>
  <si>
    <t>Pestilini çıkarmak</t>
  </si>
  <si>
    <t>Çok çalıştırıp adamakıllı yormak</t>
  </si>
  <si>
    <t>Peyda olmak</t>
  </si>
  <si>
    <t>Ortaya çıkmak, belirmek, oluşmak</t>
  </si>
  <si>
    <t>Pılıyı pırtıyı toplamak</t>
  </si>
  <si>
    <t>Hemen bütün eşyalarını toplayarak bir yere gitmek üzere hazırlık yapmak</t>
  </si>
  <si>
    <t>Pire için yorgan yakmak</t>
  </si>
  <si>
    <t>Önemsiz bir şey için kızıp daha büyük zarara yol açacak davranış içine girmek</t>
  </si>
  <si>
    <t>Pireyi deve yapmak</t>
  </si>
  <si>
    <t>Küçük, basit bir olayı büyütüp mesele yapmak, aşırı abartmak</t>
  </si>
  <si>
    <t>Pişmiş aşa su katmak</t>
  </si>
  <si>
    <t>Yoluna girmiş, bitmek üzere olan bir işi bozmak ya da aksatmak</t>
  </si>
  <si>
    <t>Pişmiş kelle gibi sırıtmak</t>
  </si>
  <si>
    <t>Anlamsız, çirkin, yersiz, dişlerini göstererek gülmek</t>
  </si>
  <si>
    <t>Posta koymak</t>
  </si>
  <si>
    <t>Birini korkutmak, gözdağı vermek, tehdit etmek</t>
  </si>
  <si>
    <t>Postayı kesmek</t>
  </si>
  <si>
    <t>İlişkiyi kesmek, gidip gelişi sona erdirmek</t>
  </si>
  <si>
    <t>Post kavgası</t>
  </si>
  <si>
    <t>Bir makamı, işi ya da iktidarı ele geçirme çekişmesi</t>
  </si>
  <si>
    <t>Postu kurtarmak</t>
  </si>
  <si>
    <t>Can tehlikesini atlatmak, öldürülme tehlikesi olan yerden kaçıp kurtulmak</t>
  </si>
  <si>
    <t>Postu sermek</t>
  </si>
  <si>
    <t>Kısa bir süre için gittiği yerde, saygısızca ve sorumsuzca uzun süre kalmak</t>
  </si>
  <si>
    <t>Pot kırmak</t>
  </si>
  <si>
    <t>Gaf yapmak, farkında olmayarak karşısındakini kıracak, incitecek söz söylemek</t>
  </si>
  <si>
    <t>Pupa yelken</t>
  </si>
  <si>
    <t>Alabildiğince, hiçbir şeye bağımlı olmadan</t>
  </si>
  <si>
    <t>Pusulayı şaşırmak</t>
  </si>
  <si>
    <t>Ne yapacağını bilemez duruma düşmek</t>
  </si>
  <si>
    <t>Put gibi</t>
  </si>
  <si>
    <t>Kımıltısız, sessiz, anlamsız bir bakışla</t>
  </si>
  <si>
    <t>Put kesilmek</t>
  </si>
  <si>
    <t>Sessiz, kımıltısız bir durumda kalmak</t>
  </si>
  <si>
    <t>Püsküllü belâ</t>
  </si>
  <si>
    <t>Kendisinden kurtulunması bir türlü mümkün olmayan, büyük sıkıntı, zarar veren kimse veya şey</t>
  </si>
  <si>
    <t>Rafa kaldırmak</t>
  </si>
  <si>
    <t>Bir iş üzerinde artık durmamak, o işi kenara itmek, ihmal etmek</t>
  </si>
  <si>
    <t>Rahatına bakmak</t>
  </si>
  <si>
    <t>Hiçbir şeye aldırış etmeden rahatını sağlamaya çalışmak</t>
  </si>
  <si>
    <t>Rahatlık batmak</t>
  </si>
  <si>
    <t>Rahat, iyi bir yerdeyken o yeri olmayacak nedenlerden ötürü terk eden insanlar</t>
  </si>
  <si>
    <t>Rahat yüzü görmemek</t>
  </si>
  <si>
    <t>Huzur, bolluk, hiç rahatlık görmemek; sürekli sıkıntı, darlık içinde bulunmak</t>
  </si>
  <si>
    <t>Rast gitmek</t>
  </si>
  <si>
    <t>Bir iş istenilen biçimde gelişmek</t>
  </si>
  <si>
    <t>Rayına oturmak</t>
  </si>
  <si>
    <t>Bozulmuş, düzensiz hâle gelmiş bir işi yoluna koymak, iyi duruma getirmek</t>
  </si>
  <si>
    <t>Rengi atmak</t>
  </si>
  <si>
    <t>Korku, heyecan sebebiyle benzi sararmak</t>
  </si>
  <si>
    <t>Renkten renge girmek</t>
  </si>
  <si>
    <t>Heyecan, korku ve utanmadan dolayı yüzünün rengi değişmek, sıkılmak</t>
  </si>
  <si>
    <t>Renk vermemek</t>
  </si>
  <si>
    <t>Bir konu ile ilgili duygularını, düşüncelerini belli etmemek; bildiği halde bilmez gibi görünmek</t>
  </si>
  <si>
    <t>Rest çekmek</t>
  </si>
  <si>
    <t>Kesin tavır almak, herhangi bir konuda son sözü söylemek</t>
  </si>
  <si>
    <t>Ruhu bile duymamak</t>
  </si>
  <si>
    <t>Anlamamak; hiçbir bilgisi, haberi bulunmamak; olan biteni sezememek</t>
  </si>
  <si>
    <t>Ruhunu teslim etmek</t>
  </si>
  <si>
    <t>Ölmek</t>
  </si>
  <si>
    <t>Rüyasında bile görememek</t>
  </si>
  <si>
    <t>Olacağını hiç aklına getirmemek, ihtimal vermemek</t>
  </si>
  <si>
    <t>Rüzgar gelecek delikleri tıkamak</t>
  </si>
  <si>
    <t>İstenmeyen bir duruma veya zarar gelebilecek bir gelişmeye karşı her türlü önlemi almak</t>
  </si>
  <si>
    <t>Saati saatine uymamak</t>
  </si>
  <si>
    <t>Bir kimsenin durumu, huyu sık sık değişir olmak</t>
  </si>
  <si>
    <t>Sabaha çıkamamak</t>
  </si>
  <si>
    <t>Sabahtan önce ölmek, sabaha kadar yaşayamamak</t>
  </si>
  <si>
    <t>Sabahı etmek</t>
  </si>
  <si>
    <t>Sabahlamak, bir sebeple sabaha kadar uyumamak</t>
  </si>
  <si>
    <t>Sabahın köründe</t>
  </si>
  <si>
    <t>Çok erken, ortalık henüz ağarmadan, sabahın en erken vaktinde</t>
  </si>
  <si>
    <t>Sabır taşı</t>
  </si>
  <si>
    <t>Çok sabırlı kimse, türlü sıkıntılara katlanan</t>
  </si>
  <si>
    <t>Sabrı taşmak</t>
  </si>
  <si>
    <t>Katlanamaz, dayanamaz, sabredemez olmak; tahammül gücü kalmamak</t>
  </si>
  <si>
    <t>Saç ağartmak</t>
  </si>
  <si>
    <t>Bir işte uzun zaman çalışıp emek vermiş olmak</t>
  </si>
  <si>
    <t>Saçına ak düşmek</t>
  </si>
  <si>
    <t>Yaşlanmak, ihtiyarlamaya başlamak</t>
  </si>
  <si>
    <t>Saçını süpürge etmek</t>
  </si>
  <si>
    <t>Çok büyük istekle çalışıp hizmet etmek, özveri ile birileri uğrana çalışmak</t>
  </si>
  <si>
    <t>Saç saça baş başa</t>
  </si>
  <si>
    <t>kıyasıya kavgaya tutuşmak, birbirlerini hırpalayarak kapışıp dövüşmek</t>
  </si>
  <si>
    <t>Saç sakal birbirlerine kırışmak</t>
  </si>
  <si>
    <t>Üstü başı perişan, uzun süre saç ve sakal tıraşı olmamış, kendine çeki düzen vermemiş olmak</t>
  </si>
  <si>
    <t>Sağ gözünü sol gözünden sakınmak</t>
  </si>
  <si>
    <t>Çok kıskanmak, üzerine titremek</t>
  </si>
  <si>
    <t>Sağır sultan bile duydu</t>
  </si>
  <si>
    <t xml:space="preserve"> İşitmedik kimse kalmadı, hemen herkes işitti</t>
  </si>
  <si>
    <t>Sağı solu (belli) olmamak</t>
  </si>
  <si>
    <t>Bir durum karşısında nasıl davranacağı, ne tavır takınacağı belli olmamak</t>
  </si>
  <si>
    <t>Sağlam kazığa bağlamak</t>
  </si>
  <si>
    <t>Bir işin aksamadan yürümesini sağlayacak önlemleri alarak güvenilir bir duruma koymak</t>
  </si>
  <si>
    <t>Sağlam pabuç değil</t>
  </si>
  <si>
    <t>Doğruluğuna, namusluluğuna güvenilmez; kişiliği kuşku veren</t>
  </si>
  <si>
    <t>Sakalı ele vermek</t>
  </si>
  <si>
    <t>Başkasının sözünden çıkmayacak bir duruma düşmek, birinin idaresine girmek</t>
  </si>
  <si>
    <t>Sakız gibi yapışmak</t>
  </si>
  <si>
    <t>Peşini bırakmamak, ayrılmamak, istediğini yaptırmaya çalışmak</t>
  </si>
  <si>
    <t>Salkım saçak</t>
  </si>
  <si>
    <t>Dağınık, düzensiz bir durumda</t>
  </si>
  <si>
    <t>Sallantıda kalmak</t>
  </si>
  <si>
    <t>Bir çözüme bağlanamamak, nasıl olacağı bilinmeden öylece kalmak</t>
  </si>
  <si>
    <t>Saltanat sürmek</t>
  </si>
  <si>
    <t>Bolluk, verimlilik içinde yaşamak</t>
  </si>
  <si>
    <t>Saman altından su yürütmek</t>
  </si>
  <si>
    <t>Hiç kimseye sezdirmeden iş çevirmek, ortalığı birbirine karıştırmak</t>
  </si>
  <si>
    <t>Sarı çizmeli Mehmet Ağa</t>
  </si>
  <si>
    <t>Kim olduğu, nerede oturduğu bilinmeyen kimse</t>
  </si>
  <si>
    <t>Sarpa sarmak</t>
  </si>
  <si>
    <t>Bir iş, çözülmesi çok güç bir durum almak; zorluklar belirmek</t>
  </si>
  <si>
    <t>Satıp savmak</t>
  </si>
  <si>
    <t>Eldeki malı veya eşyaları yok pahasına satmak, ucuza satıp tüketmek</t>
  </si>
  <si>
    <t>Sayıp dökmek</t>
  </si>
  <si>
    <t>Ne var ne yok hepsini söylemek, arka arkaya sıralamak</t>
  </si>
  <si>
    <t>Sebil etmek</t>
  </si>
  <si>
    <t>Bolca vermek, dağıtmak</t>
  </si>
  <si>
    <t>Sedyelik olmak</t>
  </si>
  <si>
    <t>Ayakta duramayacak hâle gelmek</t>
  </si>
  <si>
    <t>Seferber olmak</t>
  </si>
  <si>
    <t>Bir işe eldeki tüm imkânları kullanarak girişmek</t>
  </si>
  <si>
    <t>Selamı sabahı kesmek</t>
  </si>
  <si>
    <t>Dostluğu, arkadaşlığı, ahbaplığı kesmek, her türlü ilişkiye son vermek; selamına bile karşılık vermemek</t>
  </si>
  <si>
    <t>Selâm verip borçlu çıkmak</t>
  </si>
  <si>
    <t>Küçük bir ilgi göstermek karşılığında hemen kendisine bir iş yüklenilmek</t>
  </si>
  <si>
    <t>Sen giderken ben geliyordum</t>
  </si>
  <si>
    <t>Ben bu oyunları senden daha iyi bilirim, ben daha tecrübeliyim, beni aldatamazsın</t>
  </si>
  <si>
    <t>Senli benli olmak</t>
  </si>
  <si>
    <t>Çok samimi, içten, teklifsiz biçimde olmak</t>
  </si>
  <si>
    <t>Sen sağ ben selâmet</t>
  </si>
  <si>
    <t>İş sonuçlandı, artık yapacak bir şey kalmadı</t>
  </si>
  <si>
    <t>Sere serpe</t>
  </si>
  <si>
    <t>Rahatça, sıkışık olmayarak, serbestçe</t>
  </si>
  <si>
    <t>Sermayeyi kediye yüklemek</t>
  </si>
  <si>
    <t>Parasını yiyip bitirmek, işini ve parasını kaybetmek, batırmak</t>
  </si>
  <si>
    <t>Ser verip sır vermemek</t>
  </si>
  <si>
    <t>Dürüst, güvenilir, ağzı sıkı olmak; ne kadar zorlanırsa zorlansın kimseye sırrını söylememek</t>
  </si>
  <si>
    <t>Ses çıkarmamak</t>
  </si>
  <si>
    <t>İtiraz etmemek, hoş görerek karşı çıkmamak</t>
  </si>
  <si>
    <t>Seyirci kalmak</t>
  </si>
  <si>
    <t>Bir olay karşısında hiç tepki göstermemek, işe karışmamak</t>
  </si>
  <si>
    <t>Sıcağı sıcağına</t>
  </si>
  <si>
    <t>Hemen, olayın üzerinden fazla zaman geçmeden, unutulmadan</t>
  </si>
  <si>
    <t>Sıcak kanlı</t>
  </si>
  <si>
    <t>Sevimli, cana yakın, sempatik</t>
  </si>
  <si>
    <t>Sıdkı sıyrılmak</t>
  </si>
  <si>
    <t>Birinden soğumuş olmak, tiksinmek</t>
  </si>
  <si>
    <t>Sıfırı tüketmek</t>
  </si>
  <si>
    <t>Elinde avucunda bir şey kalmamak, malı ve parayı bitirmek</t>
  </si>
  <si>
    <t>Sık boğaz etmek</t>
  </si>
  <si>
    <t>Bir şey yaptırmak için birini zorlamak, baskı altına almak</t>
  </si>
  <si>
    <t>Sıkı fıkı</t>
  </si>
  <si>
    <t>Çok samimi, birbirine çok bağlı, içten ve teklifsiz</t>
  </si>
  <si>
    <t>Sıkıntıya gelememek</t>
  </si>
  <si>
    <t>Kendini dara düşürücü işlere dayanıklı olamamak, bu işleri yapma yeteneği bulunmamak</t>
  </si>
  <si>
    <t>Sırra kadem basmak</t>
  </si>
  <si>
    <t>Bir kimse ortalıktan yok olmak</t>
  </si>
  <si>
    <t>Sırım gibi</t>
  </si>
  <si>
    <t>İnce yapılı olmasına mukabil güçlü, dayanıklı</t>
  </si>
  <si>
    <t>Sırtından geçinmek</t>
  </si>
  <si>
    <t>Asalak yaşamak, birinin kesesinden sağlamak</t>
  </si>
  <si>
    <t>Sinek avlamak</t>
  </si>
  <si>
    <t>Satış yapamamak, iş ve müşteri olmadığından boş oturmak, iş yapamaz olmak</t>
  </si>
  <si>
    <t>Sinekten yağ çıkarmak</t>
  </si>
  <si>
    <t>Hemen her şeyden, olmayacak şeyden bile çıkar sağlamaya çalışmak; yarar ummak</t>
  </si>
  <si>
    <t>Sineye çekmek</t>
  </si>
  <si>
    <t>Bir zarara, hoş olmayan bir duruma, bir kötü söz veya davranışa ister istemez katlanmak</t>
  </si>
  <si>
    <t>Sinirleri alt üst olmak</t>
  </si>
  <si>
    <t>Haddinden fazla sinirlenmek; ne yapacağını şaşırmak, bilememek</t>
  </si>
  <si>
    <t>Sinirleri yatışmak</t>
  </si>
  <si>
    <t>Öfkesi veya kızgınlığı geçmek, sakinleşmek</t>
  </si>
  <si>
    <t>Sinirleri gergin olmak</t>
  </si>
  <si>
    <t>En ufak bir olay çıktığı anda tepki gösterecek kadar sinirleri bozuk olmak</t>
  </si>
  <si>
    <t>Sipsivri kalmak</t>
  </si>
  <si>
    <t>Tek başına, çaresiz ortada kalmak</t>
  </si>
  <si>
    <t>Sivri akıllı</t>
  </si>
  <si>
    <t>Kimsenin aklını beğenmeyen, düşünceleri kimseninkine benzemeyen, acayip fikirleri olan</t>
  </si>
  <si>
    <t>Soğuk almak</t>
  </si>
  <si>
    <t>Üşüyüp hastalanmak</t>
  </si>
  <si>
    <t>Soğuk kanlı</t>
  </si>
  <si>
    <t>kolayca kızmayan, heyecana kapılmayan, telaş etmeyen</t>
  </si>
  <si>
    <t>Soğuk nevale</t>
  </si>
  <si>
    <t>Sevimsiz, söz ve davranışları sıcak olmayan, insanlardan uzak duran kimse</t>
  </si>
  <si>
    <t>Solda sıfır (kalmak)</t>
  </si>
  <si>
    <t>Hiçbir değeri ve önemi yok</t>
  </si>
  <si>
    <t>Soluk aldırmamak</t>
  </si>
  <si>
    <t>Çok sıkı çalıştırmak, dinlenmesine fırsat vermemek</t>
  </si>
  <si>
    <t>Son kozunu oynamak</t>
  </si>
  <si>
    <t>Elindeki son imkanı kullanmak, son çareye başvurmak</t>
  </si>
  <si>
    <t>Sonradan görme</t>
  </si>
  <si>
    <t>Sonradan zenginleşerek gösteriş, kibarlık, övünme gibi davranışlarda bulunan</t>
  </si>
  <si>
    <t>Soyup soğana çevirmek</t>
  </si>
  <si>
    <t>Her şeyini, varını yoğunu elinden almak</t>
  </si>
  <si>
    <t>Söz altında kalmamak</t>
  </si>
  <si>
    <t>Bir kimsenin kendisini inciten sözüne benzer şekilde cevap vermek</t>
  </si>
  <si>
    <t>Söz birliği etmek</t>
  </si>
  <si>
    <t>Bir olayla ilgili olarak aynı şeyleri söylemek üzere anlaşmak, aynı görüşte olmak</t>
  </si>
  <si>
    <t>Sözde kalmak</t>
  </si>
  <si>
    <t>Yapılması kararlaştırılmış bir iş gerçekleşmemek</t>
  </si>
  <si>
    <t>Söz geçirmek</t>
  </si>
  <si>
    <t>Dediğini yaptırmak</t>
  </si>
  <si>
    <t>Söz götürmez</t>
  </si>
  <si>
    <t>Gerçekliği, doğruluğu kesin ve açık olan</t>
  </si>
  <si>
    <t>Söz (laf) işitmek</t>
  </si>
  <si>
    <t>Paylanmak, azarlanmak, biri kendisine darılmak</t>
  </si>
  <si>
    <t>Söz kaldırmamak</t>
  </si>
  <si>
    <t>Onu inciten, onuruna dokunan söze dayanamayıp karşılık verir olmak</t>
  </si>
  <si>
    <t>Söz sahibi olmak</t>
  </si>
  <si>
    <t>Herhangi bir konuda konuşmaya yetkisi bulunmak</t>
  </si>
  <si>
    <t>Sözü ağzında bırakmak</t>
  </si>
  <si>
    <t>Söylemekte olduğu şeyi bitirmesine fırsat vermemek, engel olmak</t>
  </si>
  <si>
    <t>Sözü bağlamak</t>
  </si>
  <si>
    <t>Konuştuklarını bir sonuca vardırmak, konuşmayı sonuçlandırmak</t>
  </si>
  <si>
    <t>Sözüne gelmek</t>
  </si>
  <si>
    <t>En sonunda karşı çıktığı kimsenin fikrini kabul etmek</t>
  </si>
  <si>
    <t>Sözünü esirgememek</t>
  </si>
  <si>
    <t>Ne düşünüyorsa söylemek, kimseden çekinmemek, karşısındakini kıracağım diye kaygılanmamak</t>
  </si>
  <si>
    <t>Sözünün eri olmak</t>
  </si>
  <si>
    <t>Verdiği sözü ne pahasına olursa olsun yerine getiren bir kişi olmak</t>
  </si>
  <si>
    <t>Sözünü yabana atmamak</t>
  </si>
  <si>
    <t>Bir kimsenin söylediklerine önem vermek</t>
  </si>
  <si>
    <t>Sudan ucuz</t>
  </si>
  <si>
    <t>Çok ucuz, adeta bedava gibi</t>
  </si>
  <si>
    <t>Su gibi akmak</t>
  </si>
  <si>
    <t>Zamanın çok hızlı geçip gitmesi</t>
  </si>
  <si>
    <t>Su gibi bilmek</t>
  </si>
  <si>
    <r>
      <rPr>
        <sz val="11"/>
        <color rgb="FF222222"/>
        <rFont val="Times New Roman"/>
      </rPr>
      <t>Çok</t>
    </r>
    <r>
      <rPr>
        <b/>
        <sz val="11"/>
        <color rgb="FF222222"/>
        <rFont val="Times New Roman"/>
      </rPr>
      <t> </t>
    </r>
    <r>
      <rPr>
        <sz val="11"/>
        <color rgb="FF222222"/>
        <rFont val="Times New Roman"/>
      </rPr>
      <t>iyi, yanlışsız bilmek veya okumak</t>
    </r>
  </si>
  <si>
    <t>Su gibi ezberlemek</t>
  </si>
  <si>
    <t>Çok iyi, yanlışsız ve takılmadan söyleyebilecek ölçüde ezberlemek</t>
  </si>
  <si>
    <t>Su götürmez</t>
  </si>
  <si>
    <t>Kesin, başka bir yoruma açık olmayan</t>
  </si>
  <si>
    <t>Sululuk etmek</t>
  </si>
  <si>
    <t>Cıvıklık etmek, taşkın hareketlerde bulunmak, ciddi davranmamak</t>
  </si>
  <si>
    <t>Surat bir karış</t>
  </si>
  <si>
    <t>üzüntülü ve somurtkan</t>
  </si>
  <si>
    <t>Suratını ekşitmek</t>
  </si>
  <si>
    <t>Hoşnutsuzluğunu yüz ifadesiyle belli etmek</t>
  </si>
  <si>
    <t>Suya götürüp susuz getirmek</t>
  </si>
  <si>
    <t>Birinden çok kurnaz olmak, onu aldatabilecek kadar akıllı ve kabiliyetli olmak</t>
  </si>
  <si>
    <t>Suya sabuna dokunmamak</t>
  </si>
  <si>
    <t>Sakıncalı konulardan uzak durmak, davranışlarıyla birilerini incitmeyecek yol tutmak</t>
  </si>
  <si>
    <t>Suyu bulandırmak</t>
  </si>
  <si>
    <t>İyi, olumlu, yolunda giden bir işi art niyetle karıştırmak</t>
  </si>
  <si>
    <t>Suyu kaynamak</t>
  </si>
  <si>
    <t>İş başından uzaklaştırılması zamanı yakın olmak</t>
  </si>
  <si>
    <t>Suyunca gitmek</t>
  </si>
  <si>
    <t>Bir kimseyi öfkelendirmeyecek biçimde hareket edip davranışlarını onun isteğine, eğilimlerine uydurmak</t>
  </si>
  <si>
    <t>Suyunu çekmek</t>
  </si>
  <si>
    <t>Bir şeye özellikle de para harcanıp tükenmek</t>
  </si>
  <si>
    <t>Suyunun suyu</t>
  </si>
  <si>
    <t>Çok uzaktan ilgisi bulunan şey</t>
  </si>
  <si>
    <t>Su yüzü görmemiş</t>
  </si>
  <si>
    <t>Hiç yıkanmamış, çok kirli</t>
  </si>
  <si>
    <t>Su yüzüne çıkmak</t>
  </si>
  <si>
    <t>Belli olmak, aydınlanmak</t>
  </si>
  <si>
    <t>Süklüm püklüm</t>
  </si>
  <si>
    <t>Korkup çekinerek, ezilip büzülerek, utanıp sıkılarak</t>
  </si>
  <si>
    <t>Sünger çekmek</t>
  </si>
  <si>
    <t>Unutmak, silmek, hiçbir şey olmamış saymak</t>
  </si>
  <si>
    <t>Sürüden ayrılmak</t>
  </si>
  <si>
    <t>Herkesin tuttuğu yolu bırakıp ayrı bir yol takip etmek</t>
  </si>
  <si>
    <t>Süt dökmüş kedi gibi</t>
  </si>
  <si>
    <t>Bir kabahat işleyip de bu kabahatinden dolayı utanan, korkan, çekinen kimsenin durumunu</t>
  </si>
  <si>
    <t>Süt kuzusu</t>
  </si>
  <si>
    <t>Çok küçük bebek, yavru, korunması gereken küçük çocuk</t>
  </si>
  <si>
    <t>Süt liman olmak</t>
  </si>
  <si>
    <t>Dingin, gürültüsüz, sakin olmak</t>
  </si>
  <si>
    <t>Şad olmak</t>
  </si>
  <si>
    <t>Sevinmek, mutlu olmak</t>
  </si>
  <si>
    <t>Şaka götürmemek</t>
  </si>
  <si>
    <t>Bir iş ya da durum dikkatsizliğe, önemsenmemeye gelmemek</t>
  </si>
  <si>
    <t>Şakası yok</t>
  </si>
  <si>
    <t>Tehlikeli</t>
  </si>
  <si>
    <t>Şamar oğlanı</t>
  </si>
  <si>
    <t>Herkesin hıncını aldığı, dövdüğü, çattığı, söylendiği kimse</t>
  </si>
  <si>
    <t>Şamata koparmak</t>
  </si>
  <si>
    <t>Gürültü, patırtı yapmak</t>
  </si>
  <si>
    <t>Şapa oturmak</t>
  </si>
  <si>
    <t>Güç bir duruma düşmek, çıkmaza girmek</t>
  </si>
  <si>
    <t>Şeşi beş görmek</t>
  </si>
  <si>
    <t>Yanlış görmek, görüşünde aldanmak</t>
  </si>
  <si>
    <t>Şeyhin kerameti kendinden menkul</t>
  </si>
  <si>
    <t>Çok büyük işler yaptığını belirtiyor ama bunu doğrulayacak ne kanıt ne de kimse var ortalıkta</t>
  </si>
  <si>
    <t>Şeytana uymak</t>
  </si>
  <si>
    <t>doğru yoldan ayrılmak</t>
  </si>
  <si>
    <t>Şeytan dürtmek</t>
  </si>
  <si>
    <t>Durup dururken uygunsuz, kötü bir davranışta bulunmak</t>
  </si>
  <si>
    <t>Şeytan görsün yüzünü</t>
  </si>
  <si>
    <t>Onunla hiç görüşmek, bir arada bulunmak istememek</t>
  </si>
  <si>
    <t>Şeytanın art bacağı</t>
  </si>
  <si>
    <t>Çok afacan ve yaramaz (çocuk)</t>
  </si>
  <si>
    <t>Şeytanın bacağını kırmak</t>
  </si>
  <si>
    <t>Aksiliği, uğursuzluğu yenmek</t>
  </si>
  <si>
    <t>Şeytanın yattığı yeri bilmek</t>
  </si>
  <si>
    <t>Çok kurnaz ve açıkgöz olmak; bilinmesi, hatırlanması güç şeyleri bilmek; pek çok şeyden haberdar olmak</t>
  </si>
  <si>
    <t>Şimşekleri üzerine çekmek</t>
  </si>
  <si>
    <t>Söz ve davranışlarıyla çevresindekileri kızdırmak; rahatsız etmek; sert eleştirilerine, saldırılarına hedef ve neden olmak</t>
  </si>
  <si>
    <t>Şirazesinden çıkmak</t>
  </si>
  <si>
    <t>Bozulmak, çığırından çıkmak, düzenini yitirmek</t>
  </si>
  <si>
    <t>Şom ağızlı</t>
  </si>
  <si>
    <t>Hemen her olayı kötüye yoran, kötü şeyler olacağını söyleyen, ileri sürdüğü ihtimallerin gerçekleşmesinden korkulan kimse</t>
  </si>
  <si>
    <t>Şunu bunu bilmemek</t>
  </si>
  <si>
    <t>İtiraz dinlememek, mazeret kabul etmemek, bahane istememek</t>
  </si>
  <si>
    <t>Şüphe kurdu</t>
  </si>
  <si>
    <t>Kişinin içini kemiren, onu tedirgin eden kuşku</t>
  </si>
  <si>
    <t>Tabana kuvvet</t>
  </si>
  <si>
    <t>Binecek bir şey yok, yayan gitmekten başka çare de kalmadı</t>
  </si>
  <si>
    <t>Tabanları kaldırmak</t>
  </si>
  <si>
    <t>Çok hızlı yürümeye ya da çok hızlı koşarak kaçmaya başlamak</t>
  </si>
  <si>
    <t>Tabanları yağlamak</t>
  </si>
  <si>
    <t>Hızlıca koşarak kaçmak</t>
  </si>
  <si>
    <t>Taban tabana zıt</t>
  </si>
  <si>
    <t>Birbirinin tamamen karşıtı olmak, birbirine çok aykırı</t>
  </si>
  <si>
    <t>Tadı damağında kalmak</t>
  </si>
  <si>
    <t>Tadını, lezzetini bir türlü unutamamak</t>
  </si>
  <si>
    <t>Tadında bırakmak</t>
  </si>
  <si>
    <t>Ölçülü olup aşırılığa kaçmamak</t>
  </si>
  <si>
    <t>Tadını çıkarmak</t>
  </si>
  <si>
    <t>Bir şeyin sağladığı güzelliklerden ya da imkanlardan istediği gibi yararlanmak</t>
  </si>
  <si>
    <t>Tadını kaçırmak</t>
  </si>
  <si>
    <t>Zevkine varılmaya çalışılan bir şeyde aşırılığa kaçarak olumsuz bir durum oluşturmak, zevki bozmak</t>
  </si>
  <si>
    <t>Tadı tuzu kalmamak</t>
  </si>
  <si>
    <t>Eski zevk veren yanı kalmamak, yavanlaşmak, güzel ve çekici durumu ortadan kalkmak</t>
  </si>
  <si>
    <t>Tahtalı köy</t>
  </si>
  <si>
    <t>Mezarlık</t>
  </si>
  <si>
    <t>Tahtası eksik</t>
  </si>
  <si>
    <t>Aklı noksan, deli</t>
  </si>
  <si>
    <t>Takke düştü kel göründü</t>
  </si>
  <si>
    <t>Kusuru, kabahati örten şey ortadan kalkınca bütün çirkinlikler, hileler, ayıplar ortaya çıktı</t>
  </si>
  <si>
    <t>Tam takır kuru bakır</t>
  </si>
  <si>
    <t>İçinde hiçbir şey yok, bomboş</t>
  </si>
  <si>
    <t>Tam üstüne basmak</t>
  </si>
  <si>
    <t>İstenilen şeyi bulmak, fikir ve davranışlarında isabet kaydetmek, istenilen sözü söylemek</t>
  </si>
  <si>
    <t>Taraf tutmak</t>
  </si>
  <si>
    <t>Bir yanı desteklemek, yan çıkmak</t>
  </si>
  <si>
    <t>Tarihe karışmak</t>
  </si>
  <si>
    <t>Yalnız adı anılır olmak veya etkisi yok olmak</t>
  </si>
  <si>
    <t>Tası tarağı toplamak</t>
  </si>
  <si>
    <t>Gitmek üzere bütün eşyasını toplamak</t>
  </si>
  <si>
    <t>Taş atmak</t>
  </si>
  <si>
    <t>Birine dokunacak, onu incitecek söz söylemek</t>
  </si>
  <si>
    <t>Taşa tutmak</t>
  </si>
  <si>
    <t>Üst üste taş atmak, sürekli taşlamak</t>
  </si>
  <si>
    <t>Taş çıkartmak</t>
  </si>
  <si>
    <t>Biri, ötekinden niteliğiyle üstün olmak</t>
  </si>
  <si>
    <t>Taşı gediğine koymak</t>
  </si>
  <si>
    <t>Zekice bir hareketle gerekli bir sözü tam zamanında ve yerinde söylemek</t>
  </si>
  <si>
    <t>Taşı sıksa suyunu çıkarmak</t>
  </si>
  <si>
    <t>Bedence çok kuvvetli, dinç kimse</t>
  </si>
  <si>
    <t>Taş kesilmek</t>
  </si>
  <si>
    <t>Çok şaşırıp ne yapacağını, ne söyleyeceğini bilemez olmak; sesini çıkaramamak, hareket edememek</t>
  </si>
  <si>
    <t>Taş üstünde taş bırakmamak</t>
  </si>
  <si>
    <t>Her şeyi yıkıp yerle bir etmek</t>
  </si>
  <si>
    <t>Taş yürekli</t>
  </si>
  <si>
    <t>Hiç acıma hissi taşımayan, merhametsiz</t>
  </si>
  <si>
    <t>Tatlı dil</t>
  </si>
  <si>
    <t>Gönül alıcı, hoşa giden, kırmayan konuşma biçimi ya da söz</t>
  </si>
  <si>
    <t>Tatlı sert</t>
  </si>
  <si>
    <t>Kırmamakla birlikte yumuşak da olmayan söz ya da davranış</t>
  </si>
  <si>
    <t>Tatlıya bağlamak</t>
  </si>
  <si>
    <t>Bir anlaşmazlığı tarafları memnun edecek biçimde bir çözüme ulaştırmak</t>
  </si>
  <si>
    <t>Tavına getirmek</t>
  </si>
  <si>
    <t>Bir işi en uygun duruma getirmek</t>
  </si>
  <si>
    <t>Tava gelmek</t>
  </si>
  <si>
    <t>Yumuşamak, kanmak</t>
  </si>
  <si>
    <t>Tavır almak</t>
  </si>
  <si>
    <t>Belli bir durum ve davranış almak.</t>
  </si>
  <si>
    <t>Tavşana kaç tazıya tut</t>
  </si>
  <si>
    <t>Birbirine karşı olan tarafları çatışma için kışkırtma, davranışlarında yüreklendirme</t>
  </si>
  <si>
    <t>Tavşanın suyunu suyu</t>
  </si>
  <si>
    <t>İki şey arasında çok uzak bir ilgi olması</t>
  </si>
  <si>
    <t>Tavşan yürekli</t>
  </si>
  <si>
    <t>Korkak, ürkek, çekingen</t>
  </si>
  <si>
    <t>Tebdil gezmek</t>
  </si>
  <si>
    <t>Tanınmamak için kılık değiştirerek gezmek</t>
  </si>
  <si>
    <t>Tekerine çomak sokmak</t>
  </si>
  <si>
    <t>Birinin yolunda giden işini engellemek, aksatmak gibi davranışlarda bulunmak</t>
  </si>
  <si>
    <t>Temcit pilavı gibi ısıtıp ısıtıp koymak</t>
  </si>
  <si>
    <t>Bir meseleyi sürekli anlatmak, yeni bir şeymiş gibi birçok defa söz konusu etmek</t>
  </si>
  <si>
    <t>Temize çıkmak</t>
  </si>
  <si>
    <t>Bir kimsenin suçsuz olduğu anlaşılmak</t>
  </si>
  <si>
    <t>Tencerede pişirip kapağında yemek</t>
  </si>
  <si>
    <t>Zor geçinmek, olanıyla yetinmek</t>
  </si>
  <si>
    <t>Tencere yuvarlanmış kapağını bulmuş</t>
  </si>
  <si>
    <t>İki değersiz kişi bir araya gelmiş, birleşmiş, yakışmışlar birbirlerine</t>
  </si>
  <si>
    <t>Tepeden bakmak</t>
  </si>
  <si>
    <t>Küçümsemek, kendini üstün görmek</t>
  </si>
  <si>
    <t>Tepeden tırnağa</t>
  </si>
  <si>
    <t>Her yanı, baştan aşağı, bütün vücudu</t>
  </si>
  <si>
    <t>Tepesi atmak</t>
  </si>
  <si>
    <t>Çok sinirlenmek, birden öfkelenmek</t>
  </si>
  <si>
    <t>Tepesine binmek</t>
  </si>
  <si>
    <t>Şımarıklığı sebebiyle her istediğini yapmak, yaptırmak</t>
  </si>
  <si>
    <t>Tepe tepe kullanmak</t>
  </si>
  <si>
    <t>Yıpranacağını, eskiyeceğini düşünmeden, sakınmadan istediği gibi kullanmak</t>
  </si>
  <si>
    <t>Ter dökmek</t>
  </si>
  <si>
    <t>Bir işi yapmak için çok zahmet, zorluk çekmek</t>
  </si>
  <si>
    <t>Tereciye tere satmak</t>
  </si>
  <si>
    <t>Birine çok iyi bildiği bir konuda bilgi vermeye çalışmak</t>
  </si>
  <si>
    <t>Tere yağından kıl çeker gibi</t>
  </si>
  <si>
    <t>Hiç kimseye zarar vermeden, çok kolaylıkla kimseye hissettirmeden, kimi sorumluluklardan kurtularak</t>
  </si>
  <si>
    <t>Ters tarafından kalkmak</t>
  </si>
  <si>
    <t>Aksi, huysuz ve ters olmak</t>
  </si>
  <si>
    <t>Ters yüz geri dönmek</t>
  </si>
  <si>
    <t>İstediğini elde edemeden, eli boş dönmek</t>
  </si>
  <si>
    <t>Tetikte olmak</t>
  </si>
  <si>
    <t>Her an uyanık ve hazır bulunmak</t>
  </si>
  <si>
    <t>Tez canlı</t>
  </si>
  <si>
    <t>Aceleci, sabırsız, beklemeye dayanamayan</t>
  </si>
  <si>
    <t>Tez elden</t>
  </si>
  <si>
    <t>Çabucak, bir an önce, çarçabuk</t>
  </si>
  <si>
    <t>Tezkeresini eline vermek</t>
  </si>
  <si>
    <t>Kovmak, işten atmak, işine son vermek</t>
  </si>
  <si>
    <t>Tıka basa doldurmak</t>
  </si>
  <si>
    <t>Doldururken çok bastırıp sıkıştırmak, hiç boş yer bırakmamak</t>
  </si>
  <si>
    <t>Tıka basa yemek</t>
  </si>
  <si>
    <t>Haddinden fazla yemek, çok yemek, mideyi rahatsız edecek kadar çok yemek</t>
  </si>
  <si>
    <t>Tok evin aç kedisi</t>
  </si>
  <si>
    <t>Varlıklı olduğu hâlde doymayan, ihtiyacı olmadığı hâlde aç gözlülük eden, her gördüğüne sahip olmak isteyen (kimse)</t>
  </si>
  <si>
    <t>Tok gözlü</t>
  </si>
  <si>
    <t>Mala, paraya, yiyeceğe düşkün olmayan; cömert</t>
  </si>
  <si>
    <t>Tok sözlü</t>
  </si>
  <si>
    <t>özünü esirgemeden, çekinmeden, hatır gönül dinlemeden söyleyen</t>
  </si>
  <si>
    <t>Tongaya basmak</t>
  </si>
  <si>
    <t>Tuzağa düşmek</t>
  </si>
  <si>
    <t>Topa tutmak</t>
  </si>
  <si>
    <t>Bir kimseye kırıcı, ağır sözler söylemek</t>
  </si>
  <si>
    <t>Topun ağzında</t>
  </si>
  <si>
    <t>Tehlikeye, saldırıya en yakın yerde olmak</t>
  </si>
  <si>
    <t>Topu topu</t>
  </si>
  <si>
    <t>olup olacağı, yalnızca, hepsi</t>
  </si>
  <si>
    <t>Toz kondurmamak</t>
  </si>
  <si>
    <t>Bir şeyi kusursuz göstermek, onda bir kusurun olabileceğini kabul etmemek</t>
  </si>
  <si>
    <t>Toz olmak</t>
  </si>
  <si>
    <t>Ortadan kaybolmak, kaçmak, uzaklaşmak</t>
  </si>
  <si>
    <t>Toz pembe görmek</t>
  </si>
  <si>
    <t>Aşırı iyimser olmak; hemen her aksaklığı, üzücü durumları iyimserlikle karşılamak</t>
  </si>
  <si>
    <t>Tozu dumana katmak</t>
  </si>
  <si>
    <t>Ortalığı altüst etmek, karışıklığa yol açmak, gürültü patırtı çıkarmak</t>
  </si>
  <si>
    <t>Turnayı gözünden vurmak</t>
  </si>
  <si>
    <t>Hiç beklenmedik bir kazanç sağlama imkanını ele geçirmek</t>
  </si>
  <si>
    <t>Turp gibi</t>
  </si>
  <si>
    <t>Çok sağlıklı, sağlam, rahatı yerinde</t>
  </si>
  <si>
    <t>Turşusu çıkmak</t>
  </si>
  <si>
    <t>Turşusunu kurmak</t>
  </si>
  <si>
    <t>Bir şeyi kullanmak, harcamak gerekirken kıyamamak</t>
  </si>
  <si>
    <t>Tuttuğu dal elinde kalmak</t>
  </si>
  <si>
    <t>Dayandığı, güvendiği şey önemini kaybederek işe yaramaz hâle gelmek</t>
  </si>
  <si>
    <t>Tuttuğunu koparmak</t>
  </si>
  <si>
    <t>Her girişiminden başarıyla çıkmak, her işi becermek</t>
  </si>
  <si>
    <t>Tutunacak dalı olmamak</t>
  </si>
  <si>
    <t>Güveneceği, dayanacağı kimse bulunmamak</t>
  </si>
  <si>
    <t>Tuz biber olmak</t>
  </si>
  <si>
    <t>Bir üzüntünün acısını, bir kusurun ağırlığını daha da artırmak</t>
  </si>
  <si>
    <t>Tuzla buz olmak</t>
  </si>
  <si>
    <t>paramparça olmak</t>
  </si>
  <si>
    <t>Tuzluya mal olmak</t>
  </si>
  <si>
    <t>Oldukça çok para harcanarak sağlanmış olmak</t>
  </si>
  <si>
    <t>Tuzu kuru</t>
  </si>
  <si>
    <t>Hiçbir derdi, sıkıntısı olmayan; kazancı yerinde olduğu için kaygılanmayan</t>
  </si>
  <si>
    <t>Tükürdüğünü yalamak</t>
  </si>
  <si>
    <t>Verdiği sözden geri dönerek benliğini küçültmek</t>
  </si>
  <si>
    <t>Türküsünü çağırmak</t>
  </si>
  <si>
    <t>Birinin hoşuna gidecek davranış ortaya koymak, söz söylemek, onun tarafını tutmak</t>
  </si>
  <si>
    <t>Tüyleri diken diken olmak</t>
  </si>
  <si>
    <t>Ucu dokunmak</t>
  </si>
  <si>
    <t>Bir işten biri zarar görür olmak, söylenen bir söz birine zarar vermek</t>
  </si>
  <si>
    <t>Ucunu kaçırmak</t>
  </si>
  <si>
    <t>Çıkmaza girmek, denetimi elinden kaçırmak</t>
  </si>
  <si>
    <t>Ucu ortası belli olmamak</t>
  </si>
  <si>
    <t>Bir işe, söze nereden başlanacağı kestirilememek</t>
  </si>
  <si>
    <t>Ucunda bir şey olmak</t>
  </si>
  <si>
    <t>Bir şeyde gizli bir amaç bulunmak</t>
  </si>
  <si>
    <t>Ucu ucuna</t>
  </si>
  <si>
    <t>Ancak yetişecek kadar</t>
  </si>
  <si>
    <t>Ucuz atlatmak</t>
  </si>
  <si>
    <t>Güç ve tehlikeli durumdan az bir zararla sıyrılmak</t>
  </si>
  <si>
    <t>Uçan kuşa borcu olmak</t>
  </si>
  <si>
    <t>Pek çok kişiye borçlu olmak</t>
  </si>
  <si>
    <t>Uçan kuştan medet ummak</t>
  </si>
  <si>
    <t>Pek sıkıntıda bulunup, bu sıkıntıdan kurtulmak için her türlü çareye, olmadık yerlere başvurmak, yardım istemek</t>
  </si>
  <si>
    <t>Uçsuz bucaksız</t>
  </si>
  <si>
    <t>Çok geniş</t>
  </si>
  <si>
    <t>Ulu orta söz söylemek</t>
  </si>
  <si>
    <t>Bir şeyin aslını bilmeden, düşünüp tartmadan, çekinmeden, açıktan açığa konuşmak</t>
  </si>
  <si>
    <t>Ununu elemiş, eleğini asmış</t>
  </si>
  <si>
    <t>Hayatta yapmak istediklerini yapmış, geri kalan ömrü süresince artık yapacak önemli bir işi kalmamış</t>
  </si>
  <si>
    <t>Utancından yere geçmek</t>
  </si>
  <si>
    <t>Çok utanmak, kimsenin yüzüne bakamayıp sanki saklanacak yer aramak</t>
  </si>
  <si>
    <t>Uyku bastırmak</t>
  </si>
  <si>
    <t>Aşırı derecede uykusu gelmek, uyuma isteği duymak</t>
  </si>
  <si>
    <t>Uyku gözünden akmak</t>
  </si>
  <si>
    <t>Çok uykusu gelmek, göz kapakları kapanmak</t>
  </si>
  <si>
    <t>Uykusu kaçmak</t>
  </si>
  <si>
    <t>Uyuması gerekirken herhangi bir sebepten ötürü uyuyamamak</t>
  </si>
  <si>
    <t>Uykusunu almak</t>
  </si>
  <si>
    <t>Gerektiği kadar uyumuş olmak</t>
  </si>
  <si>
    <t>Uyku tulumu</t>
  </si>
  <si>
    <t>Uykuyu çok seven kimse, çok uyuyan</t>
  </si>
  <si>
    <t>Uyur uyanık</t>
  </si>
  <si>
    <t>Yarı uykulu</t>
  </si>
  <si>
    <t>Uzun etmek</t>
  </si>
  <si>
    <t>Sözü uzatmak, tartışmayı sürdürmek</t>
  </si>
  <si>
    <t>Uzun uzadıya</t>
  </si>
  <si>
    <t>Çok ayrıntılı olarak, en ince noktalarına inerek</t>
  </si>
  <si>
    <t>Üç aşağı beş yukarı</t>
  </si>
  <si>
    <t>Az bir farkla, az fazla ya da az eksik olmak üzere, yaklaşık olarak</t>
  </si>
  <si>
    <t>Üç buçuk atmak</t>
  </si>
  <si>
    <t>Çok korkmak, korku içinde olmak, istenmeyen bir durum olacak diye korkup durmak</t>
  </si>
  <si>
    <t>Ümidini kesmek</t>
  </si>
  <si>
    <t>olacağını beklememek, kavuşamayacağını anlamak</t>
  </si>
  <si>
    <t>Ümitsizliğe düşmek</t>
  </si>
  <si>
    <t>Gerçekleşmeyeceğine, olmayacağına inanmak</t>
  </si>
  <si>
    <t>Üst baş</t>
  </si>
  <si>
    <t>Kılık kıyafet, giyim kuşam</t>
  </si>
  <si>
    <t>Üste çıkmak</t>
  </si>
  <si>
    <t>Suçlu olduğu halde suçsuz durumda olduğunu söyleyip karşısındakini suçlamak</t>
  </si>
  <si>
    <t>Üstesinden gelmek</t>
  </si>
  <si>
    <t>Becermek, üzerine aldığı işi başarmak, yapmak</t>
  </si>
  <si>
    <t>Üst perdeden konuşmak</t>
  </si>
  <si>
    <t>Üstünlük taslayarak konuşmak</t>
  </si>
  <si>
    <t>Üstü başı dökülmek</t>
  </si>
  <si>
    <t>Kılık ve kıyafeti çok eski olmak, perişan durumda bulunmak</t>
  </si>
  <si>
    <t>Üstü kapalı konuşmak</t>
  </si>
  <si>
    <t>Açık, kesin ifadeler kullanmadan konuşup dinleyenin kavrayışına bırakmak</t>
  </si>
  <si>
    <t>Üstünde durmak</t>
  </si>
  <si>
    <t>Bir işe önem vermek, o işle yakından ilgilenmek, uğraşmak</t>
  </si>
  <si>
    <t>Üstüne almak</t>
  </si>
  <si>
    <t>Alınmak, bir hareketin kendisine karşı yapıldığını sanarak kaygılanmak</t>
  </si>
  <si>
    <t>Üstüne atmak</t>
  </si>
  <si>
    <t>Kendi yaptığı bir suçu birine yüklemek</t>
  </si>
  <si>
    <t>Üstüne basmak</t>
  </si>
  <si>
    <t>Yerinde bir fikir beyan etmek</t>
  </si>
  <si>
    <t>Üstüne bir bardak (soğuk) su içmek</t>
  </si>
  <si>
    <t>O işten umudunu kesmek, o işin olacağına inanmamak, parasını ya da malını almaktan vazgeçmek</t>
  </si>
  <si>
    <t>Üstüne varmak</t>
  </si>
  <si>
    <t>Bir şeyi yapmasını zorlayarak istemek</t>
  </si>
  <si>
    <t>Üstüne yıkmak</t>
  </si>
  <si>
    <t>Kendi işlediği bir suçu başkasına yüklemek</t>
  </si>
  <si>
    <t>Üzerine titremek</t>
  </si>
  <si>
    <t>Pek fazla sevgi, özen göstermek; zarar gelmesin diye itinalı davranmak</t>
  </si>
  <si>
    <t>Üzüm üzüm üzülmek</t>
  </si>
  <si>
    <t>Haddinden fazla, çok üzülmek</t>
  </si>
  <si>
    <t>Vadesi gelmek</t>
  </si>
  <si>
    <t>Ömrü sona ermek, eceli gelmek, ölmek</t>
  </si>
  <si>
    <t>Vakitli vakitsiz</t>
  </si>
  <si>
    <t>Rastgele bir zamanda, gelişigüzel, uygun bir zamanı gözetmeden.</t>
  </si>
  <si>
    <t>Vaktini öldürmek</t>
  </si>
  <si>
    <t>Zamanını yararsız, gereksiz, boş işlerle ya da hiç iş yapmadan, boş yere geçirmek</t>
  </si>
  <si>
    <t>Vaktini şaşmamak</t>
  </si>
  <si>
    <t>Tam zamanında</t>
  </si>
  <si>
    <t>Vara yoğa karışmak</t>
  </si>
  <si>
    <t>Her şeye, üstüne lazım olsun olmasın her işe karışmak</t>
  </si>
  <si>
    <t>Varlıkta darlık çekmek</t>
  </si>
  <si>
    <t>Elinde her imkan olduğu halde bunlardan yararlanamamak, sıkıntıya düşmek</t>
  </si>
  <si>
    <t>Vebali boynuna olmak</t>
  </si>
  <si>
    <t>Bir işin günahını yüklenmek</t>
  </si>
  <si>
    <t>Velveleye vermek</t>
  </si>
  <si>
    <t>Gereksiz bir heyecana, telaşa düşürmek</t>
  </si>
  <si>
    <t>Verip veriştirmek</t>
  </si>
  <si>
    <t>Ağır sözler söylemek, ağzına ne gelirse söylemek</t>
  </si>
  <si>
    <t>Vıdı vıdı etmek</t>
  </si>
  <si>
    <t>Söylenip durmak, hemen her şeyi eleştirip beğenmediğini söyleyerek durmadan konuşmak, etrafındakileri rahatsız etmek</t>
  </si>
  <si>
    <t>Vız gelip tırıs gitmek</t>
  </si>
  <si>
    <t>Hiç önemsememek, aldırış etmemek</t>
  </si>
  <si>
    <t>Viraneye çevirmek</t>
  </si>
  <si>
    <t>Yakıp yıkmak, yıkıntı durumuna getirmek, harap etmek</t>
  </si>
  <si>
    <t>Vurduğu yerden ses getirmek</t>
  </si>
  <si>
    <t>çok kuvvetli vurmak</t>
  </si>
  <si>
    <t>Vurdumduymaz Kör Ayvaz</t>
  </si>
  <si>
    <t>Umursamaz, aldırmaz, duygusuz ve kayıtsız kimse</t>
  </si>
  <si>
    <t>Vur patlasın çal oynasın</t>
  </si>
  <si>
    <t>Aşırı zevk ve eğlence; aşırı zevk ve eğlenceye düşkün kimsenin parasını bu yolda harcaması</t>
  </si>
  <si>
    <t>Vurucu güç</t>
  </si>
  <si>
    <t>Çok etkin silahlarla donatılmış, özel eğitim görmüş askerî birlik</t>
  </si>
  <si>
    <t>Vücuda getirmek</t>
  </si>
  <si>
    <t>Oluşturmak, meydana getirmek, var etmek</t>
  </si>
  <si>
    <t>Yabana atmak</t>
  </si>
  <si>
    <t>Önem vermemek, önemsiz görüp dikkate almamak, üzerinde durmamak</t>
  </si>
  <si>
    <t>Yabancılık çekmek</t>
  </si>
  <si>
    <t>Bir iş ya da çevrede yabancı olmaktan dolayı ortaya çıkan zorlukların etkisinde kalmak</t>
  </si>
  <si>
    <t>Ya bu deveyi gütmeli, ya bu diyardan gitmeli</t>
  </si>
  <si>
    <t>Bu işi mutlaka yapmalısın, başka yolu yok, aksi taktirde burada kalamazsın</t>
  </si>
  <si>
    <t>Ya devlet başa, ya kuzgun leşe</t>
  </si>
  <si>
    <t>Giriştiğim iş beni ya büyük bir varlığa ve mevkiye ulaştıracak ya da mahvedecek, batıracak</t>
  </si>
  <si>
    <t>Yağcılık etmek</t>
  </si>
  <si>
    <t>Dalkavukluk etmek, övmek, pohpohlamak</t>
  </si>
  <si>
    <t>Yağlı ballı olmak</t>
  </si>
  <si>
    <t>Araları çok iyi, içli dışlı, samimi olmak</t>
  </si>
  <si>
    <t>Yağlı kapı</t>
  </si>
  <si>
    <t>Çalıştırdığı kimselere bol kazanç sağlayan kimse, kuruluş, aile ya da yer</t>
  </si>
  <si>
    <t>Yağmurdan kaçarken doluya tutulmak</t>
  </si>
  <si>
    <t>Bir tehlikeden, güç bir durumdan kaçarken daha kötüsüyle karşılaşmak</t>
  </si>
  <si>
    <t>Yağmur yağarken küpünü doldurmak</t>
  </si>
  <si>
    <t>Kazanma fırsatı varken ondan yararlanıp para veya mal edinmek</t>
  </si>
  <si>
    <t>Yakadan atmak</t>
  </si>
  <si>
    <t>Savıp kurtulmak, başından atmak</t>
  </si>
  <si>
    <t>Yaka paça</t>
  </si>
  <si>
    <t>Hiçbir itiraz dinlemeden, zorla, kuvvet kullanarak</t>
  </si>
  <si>
    <t>Yakasına yapışmak</t>
  </si>
  <si>
    <t>Hesap sormak ya da bir şey istemek için tutup bırakmamak</t>
  </si>
  <si>
    <t>Yakasını bırakmamak</t>
  </si>
  <si>
    <t>Bezdirecek kadar üstüne düşmek, ısrar etmek, yanından ayrılmamak</t>
  </si>
  <si>
    <t>Yakasını kaptırmak</t>
  </si>
  <si>
    <t>Bir şeyin, bir kimsenin etkisinden kendisini kurtaramamak, ona bağlanmış olmak</t>
  </si>
  <si>
    <t>Yaka silkmek</t>
  </si>
  <si>
    <t>Bıkıp usanmak; bir iş, durum, yer ya da kimsenin olumsuz yanlarından tedirginlik duyduğunu belirtmek</t>
  </si>
  <si>
    <t>Yakayı ele vermek</t>
  </si>
  <si>
    <t>Yakalanmak, kaçamayarak ele geçmek</t>
  </si>
  <si>
    <t>Yakayı kurtarmak</t>
  </si>
  <si>
    <t>Umulmazken bir işten ya da kimseden kurtulmak, kaçmak</t>
  </si>
  <si>
    <t>Yakışık almamak</t>
  </si>
  <si>
    <t>Yerinde olmamak, uygun düşmemek, yaraşmamak</t>
  </si>
  <si>
    <t>Yalancısı olmak</t>
  </si>
  <si>
    <t>Doğruluğu bilinmeyen, inanılmayacak sözleri bir başkasından işiterek söylemiş olmak</t>
  </si>
  <si>
    <t>Yalan dolan</t>
  </si>
  <si>
    <t>Hile, düzen, dalavere, yolsuz davranış</t>
  </si>
  <si>
    <t>Yan bakmak</t>
  </si>
  <si>
    <t>Beğenmeyerek, kötü niyetle, düşmanca bakmak</t>
  </si>
  <si>
    <t>Yan çizmek</t>
  </si>
  <si>
    <t>Kendisine yüklenen bir görevden kaçmak</t>
  </si>
  <si>
    <t>Yan gelip yatmak</t>
  </si>
  <si>
    <t>Yapacak işleri olduğu hâlde yapmamak, rahatına bakmak, keyfince yaşamak</t>
  </si>
  <si>
    <t>Yangına körükle gitmek</t>
  </si>
  <si>
    <t>Anlaşmazlığı, gerginliği, kargaşalığı artırıcı, her iki tarafı kışkırtıcı söz ve davranışlarda bulunmak</t>
  </si>
  <si>
    <t>Yan gözle bakmak</t>
  </si>
  <si>
    <t>Yanına bırakmamak</t>
  </si>
  <si>
    <t>Kendisine yapılan kötülüklerin öcünü almak, cezasını sert karşılıklarla vermek</t>
  </si>
  <si>
    <t>Yanına (kâr) kalmak</t>
  </si>
  <si>
    <t>Kendisinden öç alınmamak, yaptığı kötülük sert karşılık görmemek, cezasız kalmak</t>
  </si>
  <si>
    <t>Yanından bile geçmemiş</t>
  </si>
  <si>
    <t>Hiç ilgisi yok, en ufak benzerliği bile yok</t>
  </si>
  <si>
    <t>Yanlış kapı çalmak</t>
  </si>
  <si>
    <t>İsteğinin yapılamayacağı bir yere başvurmak</t>
  </si>
  <si>
    <t>Yan tutmak</t>
  </si>
  <si>
    <t>Taraflardan birini desteklemek</t>
  </si>
  <si>
    <t>Yan yan bakmak</t>
  </si>
  <si>
    <t>Düşmanca, kötü niyetle bakmak</t>
  </si>
  <si>
    <t>Yapmadığını bırakmamak</t>
  </si>
  <si>
    <t>Bütün kötülükleri yapmak, eziyet etmek</t>
  </si>
  <si>
    <t>Yara açmak</t>
  </si>
  <si>
    <t>Büyük dert, acı, üzüntü vermek</t>
  </si>
  <si>
    <t>Yarı buçuk</t>
  </si>
  <si>
    <t>Tam değil, çok az, tamamlanmamış, baştan savma</t>
  </si>
  <si>
    <t>Yarım ağızla</t>
  </si>
  <si>
    <t>İsteksizce, istemeye istemeye, gönülsüzce</t>
  </si>
  <si>
    <t>Yarım yamalak</t>
  </si>
  <si>
    <t>Gelişigüzel, üstünkörü, eksik ve kusurlu</t>
  </si>
  <si>
    <t>Yarından tezi yok</t>
  </si>
  <si>
    <t>En kısa zamanda, çok çabuk, geciktirmeden</t>
  </si>
  <si>
    <t>Yarı yolda bırakmak</t>
  </si>
  <si>
    <t>Verilen desteği, yapılan yardımı sonuna kadar götürmemek</t>
  </si>
  <si>
    <t>Ya sabır çekmek</t>
  </si>
  <si>
    <t>Kötülüklere, sıkıntılara, üzücü olaylara karşı tepki göstermemeye çalışıp Allah’tan kendisine sabır vermesini istemek</t>
  </si>
  <si>
    <t>Yaşını başını almış</t>
  </si>
  <si>
    <t>Yaşı epeyce ilerlemiş olmak, yaşlanmış veya olgunlaşmış olmak</t>
  </si>
  <si>
    <t>Yaşını içine akıtmak</t>
  </si>
  <si>
    <t>Hissettiği acıyı, ızdırabı, üzüntüyü belli etmemek; ağlamak isteğini bastırmak</t>
  </si>
  <si>
    <t>Yaş tahtaya basmamak</t>
  </si>
  <si>
    <t>Kolay kolay tuzağa düşmemek, uyanık davranmak</t>
  </si>
  <si>
    <t>Yatağa düşmek</t>
  </si>
  <si>
    <t>Hastalık yüzünden yatmak zorunda kalmak, ayağa kalkamayacak durumda olmak</t>
  </si>
  <si>
    <t>Yataklık etmek</t>
  </si>
  <si>
    <t>Bir suçluya yardım etmek, onu gizlemek, barındırmak</t>
  </si>
  <si>
    <t>Yatak yorgan yatmak</t>
  </si>
  <si>
    <t>Çok hasta olmak</t>
  </si>
  <si>
    <t>Yaygarayı basmak</t>
  </si>
  <si>
    <t>Bağırıp çağırmak, önemli bir nedeni olmadığı hâlde feryat etmek</t>
  </si>
  <si>
    <t>Yaz boz tahtasına çevirmek</t>
  </si>
  <si>
    <t>Bir konuda birbirine uymayan kararlar almak, kararsızlık yüzünden bir konuda sık sık fikir değiştirmek</t>
  </si>
  <si>
    <t>Yedi düvel</t>
  </si>
  <si>
    <t> herkes, bütün dünya</t>
  </si>
  <si>
    <t>Yediden yetmişe</t>
  </si>
  <si>
    <t>En büyüğünden en küçüğüne, eli ayağı tutan herkes</t>
  </si>
  <si>
    <t>Yedi iklim dört bucak</t>
  </si>
  <si>
    <t>Hemen her yer, bütün dünya</t>
  </si>
  <si>
    <t>Yedi kat yabancı</t>
  </si>
  <si>
    <t>El, ne akraba ne tanıdık, hiçbir yakınlığı yok</t>
  </si>
  <si>
    <t>Yeğ tutmak</t>
  </si>
  <si>
    <t>Bir şeyi bir şeyden daha önemli görüp tercih etmek</t>
  </si>
  <si>
    <t>Yelkenleri suya indirmek</t>
  </si>
  <si>
    <t>Israrından, iddiasından, direnmekten vazgeçip karşısındakinin dediğini kabul etmek; yüksekten atıp tutmayı bırakarak yumuşamak</t>
  </si>
  <si>
    <t>Yerden yere çalmak</t>
  </si>
  <si>
    <t>Çok hırpalamak, acınacak duruma düşürmek, zor durumlarda bırakmak</t>
  </si>
  <si>
    <t>Yere bakan yürek yakan</t>
  </si>
  <si>
    <t>Uslu, uysal, sessiz görünüp gizliden gizliye ve sinsice dolap çeviren, kötülük yapan kimse</t>
  </si>
  <si>
    <t>Yere göğe sığdıramamak</t>
  </si>
  <si>
    <t>Çok önem vermek, nasıl ağırlayacağını ve memnun edip mutlu kılacağını bilememek</t>
  </si>
  <si>
    <t>Yer etmek</t>
  </si>
  <si>
    <t>İz bırakmak</t>
  </si>
  <si>
    <t>Yerinde saymak</t>
  </si>
  <si>
    <t>Hiç gelişme, ilerleme gösterememek</t>
  </si>
  <si>
    <t>Yerinde yeller esmek</t>
  </si>
  <si>
    <t>Yok olmak, artık bulunmamak</t>
  </si>
  <si>
    <t>Yerin dibine geçmek</t>
  </si>
  <si>
    <t>Çok utanmak, sıkılmak</t>
  </si>
  <si>
    <t>Yerini doldurmak</t>
  </si>
  <si>
    <t>Daha önce görevinden ayrılan, yerine geçtiği biri kadar başarılı olmak</t>
  </si>
  <si>
    <t>Yeri yurdu belirsiz</t>
  </si>
  <si>
    <t>Serseri; ne iş yaptığı, nerde kaldığı, nereli olduğu bilinmeyen</t>
  </si>
  <si>
    <t>Yerle bir etmek</t>
  </si>
  <si>
    <t>Bir yeri yakıp yıkmak, tahrip etmek, temeline kadar söküp dağıtmak</t>
  </si>
  <si>
    <t>Yerli yersiz</t>
  </si>
  <si>
    <t>Uygun olsun olmasın, uygun zamanı kollamadan</t>
  </si>
  <si>
    <t>Yer yarılıp içine girmek</t>
  </si>
  <si>
    <t>Yitirilen şey bir türlü bulunamamak</t>
  </si>
  <si>
    <t>Yer yerinden oynamak</t>
  </si>
  <si>
    <t>Bir olay toplumda telâş, heyecan, gürültü, patırtı, kargaşa oluşturmak</t>
  </si>
  <si>
    <t>Yeşil ışık yakmak</t>
  </si>
  <si>
    <t>Bir şeyin olmasına izin vermek</t>
  </si>
  <si>
    <t>Yılan hikâyesi</t>
  </si>
  <si>
    <t>Bir türlü sonuca bağlanamayan, çözümlenemeyen, uzayıp giden (mesele ya da iş)</t>
  </si>
  <si>
    <t>Yılanın kuyruğuna basmak</t>
  </si>
  <si>
    <t>Zararı dokunacak, kötülük yapacak bir kimseye ilişmek ya da sataşmak yoluyla fırsat vermek</t>
  </si>
  <si>
    <t>Yıldırımları (veya şimşekleri) üstüne çekmek</t>
  </si>
  <si>
    <t>Kimi davranışlarıyla pek çok kimseyi kızdırarak eleştirilere, saldırılara yol açmak</t>
  </si>
  <si>
    <t>Yıldızı barışmamak</t>
  </si>
  <si>
    <t>Aralarında görüş, düşünce ve duygu ayrılıkları bulunup birbirlerinden hoşlanmamak, birbirleriyle iyi geçinmemek, anlaşıp uyuşamamak</t>
  </si>
  <si>
    <t>Yıldızı parlamak</t>
  </si>
  <si>
    <t>Çok başarılı olup herkesin dikkatini çekecek duruma gelmek, ün kazanmak</t>
  </si>
  <si>
    <t>Yıldızı sönmek</t>
  </si>
  <si>
    <t>Ününü ve itibarını kaybetmek</t>
  </si>
  <si>
    <t>Yok pahasına</t>
  </si>
  <si>
    <t>Son derece ucuz, değerinin altında bir fiyata</t>
  </si>
  <si>
    <t>Yola gelmek</t>
  </si>
  <si>
    <t>Ters tutumunu düzeltmek, uslanmak, istenilen biçimdeki davranışı kabul etmek</t>
  </si>
  <si>
    <t>Yola getirmek</t>
  </si>
  <si>
    <t>Birinin bir konudaki ters tutumunu düzeltmek</t>
  </si>
  <si>
    <t>Yol aramak</t>
  </si>
  <si>
    <t>Bir meseleye çare bulmaya çalışmak, imkân aramak</t>
  </si>
  <si>
    <t>Yol bulmak</t>
  </si>
  <si>
    <t>Bir çözüm, bir çare bulmak</t>
  </si>
  <si>
    <t>Yol geçen hanı</t>
  </si>
  <si>
    <t>Hemen herkesin girip çıktığı, uğradığı yer</t>
  </si>
  <si>
    <t>Yol göstermek</t>
  </si>
  <si>
    <t>Rehberlik etmek, yolu bilmeyene tarif etmek, nasıl gidileceğini anlatmak</t>
  </si>
  <si>
    <t>Yol iz bilmemek</t>
  </si>
  <si>
    <t>Bulunduğu yerde yabancı olup gideceği yolu ve yeri bilmemek</t>
  </si>
  <si>
    <t>Yolu düşmek</t>
  </si>
  <si>
    <t>Yolu üzerinde bulunan o yerden geçmesi gerekmek; o yer, yolu üzerinde bulunmak</t>
  </si>
  <si>
    <t>Yoluna girmek</t>
  </si>
  <si>
    <t>İstenilen biçimi almak, gerekli olan şekilde gelişmek</t>
  </si>
  <si>
    <t>Yoluna koymak</t>
  </si>
  <si>
    <t>Bir işi olumlu bir duruma sokmak, istenilen şekle getirmek</t>
  </si>
  <si>
    <t>Yolunu beklemek</t>
  </si>
  <si>
    <t>Gelmesini beklemek</t>
  </si>
  <si>
    <t>Yolunu bulmak</t>
  </si>
  <si>
    <t>Çözüme ulaşmak, gereken çareyi bulmak</t>
  </si>
  <si>
    <t>Yolunu sapıtmak</t>
  </si>
  <si>
    <t>Kötü yola düşmek, doğru yoldan ayrılmak</t>
  </si>
  <si>
    <t>Yolunu yapmak</t>
  </si>
  <si>
    <t>Bir işi olumlu sonuca ulaştıracak ya da mümkün kılacak girişimde bulunup hazırlık yapmak veya tedbir almak</t>
  </si>
  <si>
    <t>Yol yordam</t>
  </si>
  <si>
    <t>Bir şey, davranış ya da yapışın usul ve kuralları</t>
  </si>
  <si>
    <t>Yufka yürekli</t>
  </si>
  <si>
    <t>Çok duygulu olup olaylardan hemen etkilenip ağlayan, çok acıyan, üzülen</t>
  </si>
  <si>
    <t>Yukarı tükürsem bıyık, aşağı tükürsem sakal</t>
  </si>
  <si>
    <t>İki davranış, iki kimse, iki karşıt şey arasında bir tercih yapamama zorluğu</t>
  </si>
  <si>
    <t>Yumuşak yüzlü</t>
  </si>
  <si>
    <t>Kendisinden istenilenleri geri çevirmeyen, kimseyi gücendirmek istemeyen kimse</t>
  </si>
  <si>
    <t>Yuvarlak hesap</t>
  </si>
  <si>
    <t>Ayrıntıya girmeden, bir bütün sayıya yaklaşık olarak tamamlanabilen hesap</t>
  </si>
  <si>
    <t>Yuvarlanıp gitmek</t>
  </si>
  <si>
    <t>Eldeki imkânlar içinde hayat sürmek</t>
  </si>
  <si>
    <t>Yük altına girmek</t>
  </si>
  <si>
    <t>Sorumluluk gerektiren, ağır bir görevi kabul etmek</t>
  </si>
  <si>
    <t>Yükseklerde dolaşmak</t>
  </si>
  <si>
    <t>Elde edilmesi zor şeyler istemek</t>
  </si>
  <si>
    <t>Yüksek perdeden konuşmak</t>
  </si>
  <si>
    <t>Yapılması güç şeyleri yapacakmış gibi abartılı konuşmak</t>
  </si>
  <si>
    <t>Yüksekten atmak</t>
  </si>
  <si>
    <t>Yapamayacağı şeyleri söylemek</t>
  </si>
  <si>
    <t>Yükte hafif pahada ağır</t>
  </si>
  <si>
    <t>Taşınması kolay, değerli eşya</t>
  </si>
  <si>
    <t>Yükün altından kalkmak</t>
  </si>
  <si>
    <t>Üzerine aldığı ağır bir işi başarmak</t>
  </si>
  <si>
    <t>Yüreği ağzına gelmek</t>
  </si>
  <si>
    <t>Birden bire çok korkmak, kalbi yerinden fırlayacakmış gibi hızlı hızlı atmak</t>
  </si>
  <si>
    <t>Yüreği cız etmek</t>
  </si>
  <si>
    <t>Çok acımak, içi sızlamak</t>
  </si>
  <si>
    <t>Yüreği çarpmak</t>
  </si>
  <si>
    <t>Korku ve kaygı duyup merak etmek, bu sebeple tedirgin olmak</t>
  </si>
  <si>
    <t>Yüreği dayanmamak</t>
  </si>
  <si>
    <t>Çok acı duymak, acısına katlanamamak</t>
  </si>
  <si>
    <t>Yüreği hop etmek</t>
  </si>
  <si>
    <t>Bir olay karşısında birdenbire korkup heyecanlanmak</t>
  </si>
  <si>
    <t>Yüreği ferahlamak</t>
  </si>
  <si>
    <t>kaygıdan, sıkıntıdan kurtulmak</t>
  </si>
  <si>
    <t>Yüreğine su serpilmek</t>
  </si>
  <si>
    <t>Duyduğu üzüntüyü hafifletecek bir haberle karşılaşmak, ferahlamak</t>
  </si>
  <si>
    <t>Yüreği küt küt atmak</t>
  </si>
  <si>
    <t>Korku ve heyecandan yüreği hızlı hızlı çarpmak</t>
  </si>
  <si>
    <t>Yüreği pek</t>
  </si>
  <si>
    <t>Korkusuz, çok cesaretli</t>
  </si>
  <si>
    <t>Yüreği yanmak</t>
  </si>
  <si>
    <t>Çok fazla acımak</t>
  </si>
  <si>
    <t>Yüz bulmak</t>
  </si>
  <si>
    <t>Kendisine gösterilen hoşgörüden yararlanma yoluna gidip şımarmak, hoşa gitmeyen davranışlarda bulunmak</t>
  </si>
  <si>
    <t>Yüze gülmek</t>
  </si>
  <si>
    <t>Yalandan dost görünmeye çalışmak</t>
  </si>
  <si>
    <t>Yüze vurmak</t>
  </si>
  <si>
    <t>İşlediği bir suçu ya da kabahati birinin açıkça yüzüne söyleyip onun utanmasına yol açmak</t>
  </si>
  <si>
    <t>Yüze yüze kuyruğuna gelmek</t>
  </si>
  <si>
    <t>Uzun süren bir işin sonuna yaklaşmış olmak</t>
  </si>
  <si>
    <t>Yüz göz olmak</t>
  </si>
  <si>
    <t>Senli benli olmak ve birbirinden çekineceği kalmamak, aradaki mesafe kalkmış olmak</t>
  </si>
  <si>
    <t>Yüz karası</t>
  </si>
  <si>
    <t>Ailesi, çevresi için utanç verici bir iş yapmak</t>
  </si>
  <si>
    <t>Yüz kızartıcı</t>
  </si>
  <si>
    <t>Çok utandırıcı hareket veya durum</t>
  </si>
  <si>
    <t>Yüzü ak</t>
  </si>
  <si>
    <t>Suçu, utanılacak durumu bulunmamak; temiz ve saf olmak</t>
  </si>
  <si>
    <t>Yüzü kalmamak</t>
  </si>
  <si>
    <t>Bir kimseye karşı pek borçlu bulunmak ve ondan artık bir şey isteyecek hâli kalmama</t>
  </si>
  <si>
    <t>Yüzü kara</t>
  </si>
  <si>
    <t>Utanacak bir durumu olan</t>
  </si>
  <si>
    <t>Yüzünden düşen bin parça olmak</t>
  </si>
  <si>
    <t>Sıkıntısı, öfkesi ve küskünlüğü yüz ifadesinden belli olmak</t>
  </si>
  <si>
    <t>Yüzünden okumak</t>
  </si>
  <si>
    <t>Neler hissettiğini, durumunu yüzünden anlamak</t>
  </si>
  <si>
    <t>Yüzüne kan gelmek</t>
  </si>
  <si>
    <t>sağlığına kavuştuğu yüzünün kızarmasından belli olmak; soluk rengi geçmek</t>
  </si>
  <si>
    <t>Yüzünü ekşitmek</t>
  </si>
  <si>
    <t>Rahatsız olduğunu, hoşnut olmadığını, öfke duyduğunu yüz ifadesiyle belli etmek</t>
  </si>
  <si>
    <t>Yüzünü gören cennetlik</t>
  </si>
  <si>
    <t>Uzun bir süre ortalıkta görünmeyen kimseler</t>
  </si>
  <si>
    <t>Yüzünü kara çıkarmak</t>
  </si>
  <si>
    <t>Yaptığı bir iş ya da davranışla birini utandırmak, mahçup duruma düşürmek</t>
  </si>
  <si>
    <t>Yüzünün akıyla çıkmak</t>
  </si>
  <si>
    <t>Bir işe girip o işten başarı elde ederek, onurunu zedelemeden, utanılacak bir duruma düşmeden çıkmak</t>
  </si>
  <si>
    <t>Yüzü sirke satmak</t>
  </si>
  <si>
    <t>Yüzünden hoşnut olmadığı anlaşılmak, asık yüzlü olmak</t>
  </si>
  <si>
    <t>Yüz üstü bırakmak</t>
  </si>
  <si>
    <t>Tamamlanmamış bir durumda, yarı yolda bırakmak</t>
  </si>
  <si>
    <t>Yüzü suyu hürmetine</t>
  </si>
  <si>
    <t>Bir kimsenin hatırına değer verildiği için</t>
  </si>
  <si>
    <t>Yüzü tutmamak</t>
  </si>
  <si>
    <t>Bir şey istemeye ya da söylemeye çekinmek, cesaret edememek</t>
  </si>
  <si>
    <t>Yüz vermek</t>
  </si>
  <si>
    <t>Her istediğini yerine getirerek şımartmak; yakınlık göstererek, hoş görülü davranarak ölçüsüz hareketler yapmasına sebep olmak</t>
  </si>
  <si>
    <t>Yüz yüze bakmak</t>
  </si>
  <si>
    <t>Yakın ilişki içinde bulunup, bu ilişkileri bir süre devam etmek</t>
  </si>
  <si>
    <t>Zahmet çekmek</t>
  </si>
  <si>
    <t>Sıkıntı, güçlük, yorgunluk ve eziyetlere katlanmak</t>
  </si>
  <si>
    <t>Zahmete sokmak</t>
  </si>
  <si>
    <t>Birine sıkıntı, güçlük ve yorgunluk vermek; masraf ettirmek</t>
  </si>
  <si>
    <t>Zaman kollamak</t>
  </si>
  <si>
    <t>Uygun bir fırsat beklemek</t>
  </si>
  <si>
    <t>Zehir etmek</t>
  </si>
  <si>
    <t>Bir şeyin tadını kaçırmak, iyiyken kötü duruma sokmak</t>
  </si>
  <si>
    <t>Zehir zemberek</t>
  </si>
  <si>
    <t>İnsanın içine işleyen, onurunu zedeleyen çok acı söz</t>
  </si>
  <si>
    <t>Zemin hazırlamak</t>
  </si>
  <si>
    <t>Bir işin gerçekleştirilmesi için uygun ortam hazırlamak</t>
  </si>
  <si>
    <t>Zerre kadar</t>
  </si>
  <si>
    <t>Hiç denecek kadar az</t>
  </si>
  <si>
    <t>Zeval vermemek</t>
  </si>
  <si>
    <t>Zarar ziyan vermemek, korumak</t>
  </si>
  <si>
    <t>Zevkten dört köşe olmak</t>
  </si>
  <si>
    <t>Çok mutlu olduğu anlaşılmak, çok sevinip keyiflenmek ve aşırı zevk duymak</t>
  </si>
  <si>
    <t>Zeytinyağı gibi üste çıkmak</t>
  </si>
  <si>
    <t>Bir konuda haksız olduğunu kabullenmeyerek kurnazlıkla kendini haklı ya da suçsuz çıkarmaya çalışmak</t>
  </si>
  <si>
    <t>Zıttına gitmek</t>
  </si>
  <si>
    <t>Karşısındakini sinirlendirmek, sinirini bozmak; bir şeyin tersine hareket etmek</t>
  </si>
  <si>
    <t>Zılgıt yemek</t>
  </si>
  <si>
    <t>Azarlanmak, paylanmak</t>
  </si>
  <si>
    <t>Zınk diye durmak</t>
  </si>
  <si>
    <t>Birdenbire, aniden durmak</t>
  </si>
  <si>
    <t>Zırnık bile koklatmamak</t>
  </si>
  <si>
    <t>Az da olsa, en ufak bir şey de olsa vermemek</t>
  </si>
  <si>
    <t>Zıvanadan çıkmak</t>
  </si>
  <si>
    <t>Çok sinirlenip öfkelenmek, taşkınca hareketlerde bulunmak</t>
  </si>
  <si>
    <t>Zihni bulanmak</t>
  </si>
  <si>
    <t>Sağlıklı düşünemez olmak, olaylar arasındaki bağlantıyı kaybetmek, ne yapacağını şaşırmak</t>
  </si>
  <si>
    <t>Zihnini bulandırmak</t>
  </si>
  <si>
    <t>Kuşkulandırmak</t>
  </si>
  <si>
    <t>Zihnini kurcalamak</t>
  </si>
  <si>
    <t>Aklına takılan bir şeyi anlamaya, kavramaya çalışmak</t>
  </si>
  <si>
    <t>Zil takıp oynamak</t>
  </si>
  <si>
    <t>Çok sevinmek</t>
  </si>
  <si>
    <t>Ziyafet çekmek</t>
  </si>
  <si>
    <t>Konukları yemek vererek ağırlamak</t>
  </si>
  <si>
    <t>Zokayı yutmak</t>
  </si>
  <si>
    <t>Aldatılıp zarara sokulmak</t>
  </si>
  <si>
    <t>Zora binmek</t>
  </si>
  <si>
    <t>İş güçleşmek, ancak zor kullanarak halledilecek hâle gelmek</t>
  </si>
  <si>
    <t>Zora gelmemek</t>
  </si>
  <si>
    <t>Sıkıntıya ve baskıya katlanamamak, güçlüğe sabredememek</t>
  </si>
  <si>
    <t>Zoru olmak</t>
  </si>
  <si>
    <t>Kendisini zorlayan bir sıkıntısı, derdi olmak</t>
  </si>
  <si>
    <t>Zurnanın zırt dediği yer</t>
  </si>
  <si>
    <t>Yapılmakta olan işin en hassas, en önemli noktası</t>
  </si>
  <si>
    <t>İngilizce Anlamı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</si>
</sst>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0"/>
      <name val="Times New Roman"/>
    </font>
    <font>
      <sz val="11"/>
      <color theme="1"/>
      <name val="Times New Roman"/>
    </font>
    <font>
      <sz val="11"/>
      <color rgb="FF555555"/>
      <name val="Times New Roman"/>
    </font>
    <font>
      <sz val="11"/>
      <color theme="1"/>
      <name val="Calibri"/>
      <scheme val="minor"/>
    </font>
    <font>
      <sz val="11"/>
      <color rgb="FF222222"/>
      <name val="Times New Roman"/>
    </font>
    <font>
      <b/>
      <sz val="11"/>
      <color rgb="FF222222"/>
      <name val="Times New Roman"/>
    </font>
    <font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C7E4DB"/>
        <bgColor rgb="FFC7E4DB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9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4" borderId="0" xfId="1" applyAlignment="1"/>
  </cellXfs>
  <cellStyles count="2">
    <cellStyle name="Normal" xfId="0" builtinId="0"/>
    <cellStyle name="Vurgu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6B9F2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rightToLeft="1"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9"/>
  <sheetViews>
    <sheetView tabSelected="1" workbookViewId="0">
      <selection activeCell="C5" sqref="C5"/>
    </sheetView>
  </sheetViews>
  <sheetFormatPr defaultColWidth="14.44140625" defaultRowHeight="15" customHeight="1" x14ac:dyDescent="0.3"/>
  <cols>
    <col min="1" max="1" width="44" customWidth="1"/>
    <col min="2" max="2" width="54.6640625" customWidth="1"/>
    <col min="3" max="3" width="88.6640625" customWidth="1"/>
    <col min="4" max="26" width="8.6640625" customWidth="1"/>
  </cols>
  <sheetData>
    <row r="1" spans="1:3" ht="14.25" customHeight="1" x14ac:dyDescent="0.3">
      <c r="A1" s="1" t="s">
        <v>0</v>
      </c>
      <c r="B1" s="2" t="s">
        <v>1</v>
      </c>
      <c r="C1" s="8" t="s">
        <v>2609</v>
      </c>
    </row>
    <row r="2" spans="1:3" ht="14.25" customHeight="1" x14ac:dyDescent="0.3">
      <c r="A2" s="3" t="s">
        <v>2</v>
      </c>
      <c r="B2" s="4" t="s">
        <v>3</v>
      </c>
      <c r="C2" s="5" t="str">
        <f ca="1">IFERROR(__xludf.DUMMYFUNCTION("GOOGLETRANSLATE(B2, ""tr"", ""en"" )"),"To be in love with heart, to be held")</f>
        <v>To be in love with heart, to be held</v>
      </c>
    </row>
    <row r="3" spans="1:3" ht="14.25" customHeight="1" x14ac:dyDescent="0.3">
      <c r="A3" s="4" t="s">
        <v>4</v>
      </c>
      <c r="B3" s="3" t="s">
        <v>5</v>
      </c>
      <c r="C3" s="5" t="str">
        <f ca="1">IFERROR(__xludf.DUMMYFUNCTION("GOOGLETRANSLATE(B3, ""tr"", ""en"" )"),"To announce something hidden, hidden to everyone")</f>
        <v>To announce something hidden, hidden to everyone</v>
      </c>
    </row>
    <row r="4" spans="1:3" ht="14.25" customHeight="1" x14ac:dyDescent="0.3">
      <c r="A4" s="3" t="s">
        <v>6</v>
      </c>
      <c r="B4" s="4" t="s">
        <v>7</v>
      </c>
      <c r="C4" s="5" t="str">
        <f ca="1">IFERROR(__xludf.DUMMYFUNCTION("GOOGLETRANSLATE(B4, ""tr"", ""en"" )"),"To reveal the lack of any work, the trick or damage")</f>
        <v>To reveal the lack of any work, the trick or damage</v>
      </c>
    </row>
    <row r="5" spans="1:3" ht="14.25" customHeight="1" x14ac:dyDescent="0.3">
      <c r="A5" s="4" t="s">
        <v>8</v>
      </c>
      <c r="B5" s="3" t="s">
        <v>9</v>
      </c>
      <c r="C5" s="5" t="str">
        <f ca="1">IFERROR(__xludf.DUMMYFUNCTION("GOOGLETRANSLATE(B5, ""tr"", ""en"" )"),"Stay in a very difficult situation to get out of")</f>
        <v>Stay in a very difficult situation to get out of</v>
      </c>
    </row>
    <row r="6" spans="1:3" ht="14.25" customHeight="1" x14ac:dyDescent="0.3">
      <c r="A6" s="4" t="s">
        <v>10</v>
      </c>
      <c r="B6" s="4" t="s">
        <v>11</v>
      </c>
      <c r="C6" s="5" t="str">
        <f ca="1">IFERROR(__xludf.DUMMYFUNCTION("GOOGLETRANSLATE(B6, ""tr"", ""en"" )"),"Growing up and growing, developing, having business power")</f>
        <v>Growing up and growing, developing, having business power</v>
      </c>
    </row>
    <row r="7" spans="1:3" ht="14.25" customHeight="1" x14ac:dyDescent="0.3">
      <c r="A7" s="4" t="s">
        <v>12</v>
      </c>
      <c r="B7" s="4" t="s">
        <v>13</v>
      </c>
      <c r="C7" s="5" t="str">
        <f ca="1">IFERROR(__xludf.DUMMYFUNCTION("GOOGLETRANSLATE(B7, ""tr"", ""en"" )"),"Win a bad fame")</f>
        <v>Win a bad fame</v>
      </c>
    </row>
    <row r="8" spans="1:3" ht="14.25" customHeight="1" x14ac:dyDescent="0.3">
      <c r="A8" s="4" t="s">
        <v>14</v>
      </c>
      <c r="B8" s="4" t="s">
        <v>15</v>
      </c>
      <c r="C8" s="5" t="str">
        <f ca="1">IFERROR(__xludf.DUMMYFUNCTION("GOOGLETRANSLATE(B8, ""tr"", ""en"" )"),"To be surprised, to be surprised")</f>
        <v>To be surprised, to be surprised</v>
      </c>
    </row>
    <row r="9" spans="1:3" ht="14.25" customHeight="1" x14ac:dyDescent="0.3">
      <c r="A9" s="4" t="s">
        <v>16</v>
      </c>
      <c r="B9" s="4" t="s">
        <v>17</v>
      </c>
      <c r="C9" s="5" t="str">
        <f ca="1">IFERROR(__xludf.DUMMYFUNCTION("GOOGLETRANSLATE(B9, ""tr"", ""en"" )"),"To be very happy, to be clear from every state it is happy with")</f>
        <v>To be very happy, to be clear from every state it is happy with</v>
      </c>
    </row>
    <row r="10" spans="1:3" ht="14.25" customHeight="1" x14ac:dyDescent="0.3">
      <c r="A10" s="4" t="s">
        <v>18</v>
      </c>
      <c r="B10" s="4" t="s">
        <v>19</v>
      </c>
      <c r="C10" s="5" t="str">
        <f ca="1">IFERROR(__xludf.DUMMYFUNCTION("GOOGLETRANSLATE(B10, ""tr"", ""en"" )"),"Not being able to hide a secret, revealing the secret immediately")</f>
        <v>Not being able to hide a secret, revealing the secret immediately</v>
      </c>
    </row>
    <row r="11" spans="1:3" ht="14.25" customHeight="1" x14ac:dyDescent="0.3">
      <c r="A11" s="4" t="s">
        <v>20</v>
      </c>
      <c r="B11" s="4" t="s">
        <v>21</v>
      </c>
      <c r="C11" s="5" t="str">
        <f ca="1">IFERROR(__xludf.DUMMYFUNCTION("GOOGLETRANSLATE(B11, ""tr"", ""en"" )"),"To be very young, toy and inexperienced")</f>
        <v>To be very young, toy and inexperienced</v>
      </c>
    </row>
    <row r="12" spans="1:3" ht="14.25" customHeight="1" x14ac:dyDescent="0.3">
      <c r="A12" s="4" t="s">
        <v>22</v>
      </c>
      <c r="B12" s="4" t="s">
        <v>23</v>
      </c>
      <c r="C12" s="5" t="str">
        <f ca="1">IFERROR(__xludf.DUMMYFUNCTION("GOOGLETRANSLATE(B12, ""tr"", ""en"" )"),"There is no longer a point to appeal and focused on")</f>
        <v>There is no longer a point to appeal and focused on</v>
      </c>
    </row>
    <row r="13" spans="1:3" ht="14.25" customHeight="1" x14ac:dyDescent="0.3">
      <c r="A13" s="4" t="s">
        <v>24</v>
      </c>
      <c r="B13" s="4" t="s">
        <v>25</v>
      </c>
      <c r="C13" s="5" t="str">
        <f ca="1">IFERROR(__xludf.DUMMYFUNCTION("GOOGLETRANSLATE(B13, ""tr"", ""en"" )"),"To behave wisely")</f>
        <v>To behave wisely</v>
      </c>
    </row>
    <row r="14" spans="1:3" ht="14.25" customHeight="1" x14ac:dyDescent="0.3">
      <c r="A14" s="4" t="s">
        <v>26</v>
      </c>
      <c r="B14" s="4" t="s">
        <v>27</v>
      </c>
      <c r="C14" s="5" t="str">
        <f ca="1">IFERROR(__xludf.DUMMYFUNCTION("GOOGLETRANSLATE(B14, ""tr"", ""en"" )"),"To focus on meticulously, to have a lot of fear, to be very afraid")</f>
        <v>To focus on meticulously, to have a lot of fear, to be very afraid</v>
      </c>
    </row>
    <row r="15" spans="1:3" ht="14.25" customHeight="1" x14ac:dyDescent="0.3">
      <c r="A15" s="4" t="s">
        <v>28</v>
      </c>
      <c r="B15" s="4" t="s">
        <v>29</v>
      </c>
      <c r="C15" s="5" t="str">
        <f ca="1">IFERROR(__xludf.DUMMYFUNCTION("GOOGLETRANSLATE(B15, ""tr"", ""en"" )"),"Believing that something can happen, you can do something")</f>
        <v>Believing that something can happen, you can do something</v>
      </c>
    </row>
    <row r="16" spans="1:3" ht="14.25" customHeight="1" x14ac:dyDescent="0.3">
      <c r="A16" s="3" t="s">
        <v>26</v>
      </c>
      <c r="B16" s="3" t="s">
        <v>30</v>
      </c>
      <c r="C16" s="5" t="str">
        <f ca="1">IFERROR(__xludf.DUMMYFUNCTION("GOOGLETRANSLATE(B16, ""tr"", ""en"" )"),"To spend a lot of fear, to be very afraid")</f>
        <v>To spend a lot of fear, to be very afraid</v>
      </c>
    </row>
    <row r="17" spans="1:3" ht="14.25" customHeight="1" x14ac:dyDescent="0.3">
      <c r="A17" s="3" t="s">
        <v>31</v>
      </c>
      <c r="B17" s="3" t="s">
        <v>32</v>
      </c>
      <c r="C17" s="5" t="str">
        <f ca="1">IFERROR(__xludf.DUMMYFUNCTION("GOOGLETRANSLATE(B17, ""tr"", ""en"" )"),"Not knowing what to do")</f>
        <v>Not knowing what to do</v>
      </c>
    </row>
    <row r="18" spans="1:3" ht="14.25" customHeight="1" x14ac:dyDescent="0.3">
      <c r="A18" s="3" t="s">
        <v>33</v>
      </c>
      <c r="B18" s="6" t="s">
        <v>34</v>
      </c>
      <c r="C18" s="5" t="str">
        <f ca="1">IFERROR(__xludf.DUMMYFUNCTION("GOOGLETRANSLATE(B18, ""tr"", ""en"" )"),"Decide for a definitely")</f>
        <v>Decide for a definitely</v>
      </c>
    </row>
    <row r="19" spans="1:3" ht="14.25" customHeight="1" x14ac:dyDescent="0.3">
      <c r="A19" s="3" t="s">
        <v>35</v>
      </c>
      <c r="B19" s="3" t="s">
        <v>36</v>
      </c>
      <c r="C19" s="5" t="str">
        <f ca="1">IFERROR(__xludf.DUMMYFUNCTION("GOOGLETRANSLATE(B19, ""tr"", ""en"" )"),"Entering a wise path by saving himself from doing unreasonable, excessive behavior")</f>
        <v>Entering a wise path by saving himself from doing unreasonable, excessive behavior</v>
      </c>
    </row>
    <row r="20" spans="1:3" ht="14.25" customHeight="1" x14ac:dyDescent="0.3">
      <c r="A20" s="3" t="s">
        <v>37</v>
      </c>
      <c r="B20" s="3" t="s">
        <v>38</v>
      </c>
      <c r="C20" s="5" t="str">
        <f ca="1">IFERROR(__xludf.DUMMYFUNCTION("GOOGLETRANSLATE(B20, ""tr"", ""en"" )"),"Determining, crazy")</f>
        <v>Determining, crazy</v>
      </c>
    </row>
    <row r="21" spans="1:3" ht="14.25" customHeight="1" x14ac:dyDescent="0.3">
      <c r="A21" s="3" t="s">
        <v>39</v>
      </c>
      <c r="B21" s="3" t="s">
        <v>40</v>
      </c>
      <c r="C21" s="5" t="str">
        <f ca="1">IFERROR(__xludf.DUMMYFUNCTION("GOOGLETRANSLATE(B21, ""tr"", ""en"" )"),"Discourage him from his decision, intention and put it on another way")</f>
        <v>Discourage him from his decision, intention and put it on another way</v>
      </c>
    </row>
    <row r="22" spans="1:3" ht="14.25" customHeight="1" x14ac:dyDescent="0.3">
      <c r="A22" s="3" t="s">
        <v>41</v>
      </c>
      <c r="B22" s="3" t="s">
        <v>42</v>
      </c>
      <c r="C22" s="5" t="str">
        <f ca="1">IFERROR(__xludf.DUMMYFUNCTION("GOOGLETRANSLATE(B22, ""tr"", ""en"" )"),"Download someone from where they are, from the position")</f>
        <v>Download someone from where they are, from the position</v>
      </c>
    </row>
    <row r="23" spans="1:3" ht="14.25" customHeight="1" x14ac:dyDescent="0.3">
      <c r="A23" s="3" t="s">
        <v>43</v>
      </c>
      <c r="B23" s="3" t="s">
        <v>44</v>
      </c>
      <c r="C23" s="5" t="str">
        <f ca="1">IFERROR(__xludf.DUMMYFUNCTION("GOOGLETRANSLATE(B23, ""tr"", ""en"" )"),"All of them are the same, in one setting, none of them do not work.")</f>
        <v>All of them are the same, in one setting, none of them do not work.</v>
      </c>
    </row>
    <row r="24" spans="1:3" ht="14.25" customHeight="1" x14ac:dyDescent="0.3">
      <c r="A24" s="3" t="s">
        <v>45</v>
      </c>
      <c r="B24" s="3" t="s">
        <v>46</v>
      </c>
      <c r="C24" s="5" t="str">
        <f ca="1">IFERROR(__xludf.DUMMYFUNCTION("GOOGLETRANSLATE(B24, ""tr"", ""en"" )"),"It is a laborious work and to give a lot of effort")</f>
        <v>It is a laborious work and to give a lot of effort</v>
      </c>
    </row>
    <row r="25" spans="1:3" ht="14.25" customHeight="1" x14ac:dyDescent="0.3">
      <c r="A25" s="3" t="s">
        <v>47</v>
      </c>
      <c r="B25" s="3" t="s">
        <v>48</v>
      </c>
      <c r="C25" s="5" t="str">
        <f ca="1">IFERROR(__xludf.DUMMYFUNCTION("GOOGLETRANSLATE(B25, ""tr"", ""en"" )"),"Breaking the established order, making it a mess")</f>
        <v>Breaking the established order, making it a mess</v>
      </c>
    </row>
    <row r="26" spans="1:3" ht="14.25" customHeight="1" x14ac:dyDescent="0.3">
      <c r="A26" s="3" t="s">
        <v>49</v>
      </c>
      <c r="B26" s="3" t="s">
        <v>50</v>
      </c>
      <c r="C26" s="5" t="str">
        <f ca="1">IFERROR(__xludf.DUMMYFUNCTION("GOOGLETRANSLATE(B26, ""tr"", ""en"" )"),"Decorating something to close the bad appearance, equipping")</f>
        <v>Decorating something to close the bad appearance, equipping</v>
      </c>
    </row>
    <row r="27" spans="1:3" ht="14.25" customHeight="1" x14ac:dyDescent="0.3">
      <c r="A27" s="3" t="s">
        <v>51</v>
      </c>
      <c r="B27" s="3" t="s">
        <v>52</v>
      </c>
      <c r="C27" s="5" t="str">
        <f ca="1">IFERROR(__xludf.DUMMYFUNCTION("GOOGLETRANSLATE(B27, ""tr"", ""en"" )"),"To resort to all kinds of cunning to get what you want")</f>
        <v>To resort to all kinds of cunning to get what you want</v>
      </c>
    </row>
    <row r="28" spans="1:3" ht="14.25" customHeight="1" x14ac:dyDescent="0.3">
      <c r="A28" s="3" t="s">
        <v>53</v>
      </c>
      <c r="B28" s="3" t="s">
        <v>54</v>
      </c>
      <c r="C28" s="5" t="str">
        <f ca="1">IFERROR(__xludf.DUMMYFUNCTION("GOOGLETRANSLATE(B28, ""tr"", ""en"" )"),"Without falling into a situation to be underestimated and condemned; clean, with honor, successfully")</f>
        <v>Without falling into a situation to be underestimated and condemned; clean, with honor, successfully</v>
      </c>
    </row>
    <row r="29" spans="1:3" ht="14.25" customHeight="1" x14ac:dyDescent="0.3">
      <c r="A29" s="3" t="s">
        <v>55</v>
      </c>
      <c r="B29" s="3" t="s">
        <v>56</v>
      </c>
      <c r="C29" s="5" t="str">
        <f ca="1">IFERROR(__xludf.DUMMYFUNCTION("GOOGLETRANSLATE(B29, ""tr"", ""en"" )"),"Bad fortune, baht")</f>
        <v>Bad fortune, baht</v>
      </c>
    </row>
    <row r="30" spans="1:3" ht="14.25" customHeight="1" x14ac:dyDescent="0.3">
      <c r="A30" s="3" t="s">
        <v>57</v>
      </c>
      <c r="B30" s="3" t="s">
        <v>58</v>
      </c>
      <c r="C30" s="5" t="str">
        <f ca="1">IFERROR(__xludf.DUMMYFUNCTION("GOOGLETRANSLATE(B30, ""tr"", ""en"" )"),"Not to leave something unrequited")</f>
        <v>Not to leave something unrequited</v>
      </c>
    </row>
    <row r="31" spans="1:3" ht="14.25" customHeight="1" x14ac:dyDescent="0.3">
      <c r="A31" s="3" t="s">
        <v>59</v>
      </c>
      <c r="B31" s="3" t="s">
        <v>60</v>
      </c>
      <c r="C31" s="5" t="str">
        <f ca="1">IFERROR(__xludf.DUMMYFUNCTION("GOOGLETRANSLATE(B31, ""tr"", ""en"" )"),"Defeat a challenge and achieve the job")</f>
        <v>Defeat a challenge and achieve the job</v>
      </c>
    </row>
    <row r="32" spans="1:3" ht="14.25" customHeight="1" x14ac:dyDescent="0.3">
      <c r="A32" s="3" t="s">
        <v>61</v>
      </c>
      <c r="B32" s="3" t="s">
        <v>62</v>
      </c>
      <c r="C32" s="5" t="str">
        <f ca="1">IFERROR(__xludf.DUMMYFUNCTION("GOOGLETRANSLATE(B32, ""tr"", ""en"" )"),"We haven't called a place to find something not to leave")</f>
        <v>We haven't called a place to find something not to leave</v>
      </c>
    </row>
    <row r="33" spans="1:3" ht="14.25" customHeight="1" x14ac:dyDescent="0.3">
      <c r="A33" s="3" t="s">
        <v>63</v>
      </c>
      <c r="B33" s="3" t="s">
        <v>64</v>
      </c>
      <c r="C33" s="5" t="str">
        <f ca="1">IFERROR(__xludf.DUMMYFUNCTION("GOOGLETRANSLATE(B33, ""tr"", ""en"" )"),"Taking a position as soft, positive, justified against someone who speaks hard")</f>
        <v>Taking a position as soft, positive, justified against someone who speaks hard</v>
      </c>
    </row>
    <row r="34" spans="1:3" ht="14.25" customHeight="1" x14ac:dyDescent="0.3">
      <c r="A34" s="3" t="s">
        <v>65</v>
      </c>
      <c r="B34" s="3" t="s">
        <v>66</v>
      </c>
      <c r="C34" s="5" t="str">
        <f ca="1">IFERROR(__xludf.DUMMYFUNCTION("GOOGLETRANSLATE(B34, ""tr"", ""en"" )"),"First, asking for the forgiveness of his life, taking refuge in the mercy of the victorious")</f>
        <v>First, asking for the forgiveness of his life, taking refuge in the mercy of the victorious</v>
      </c>
    </row>
    <row r="35" spans="1:3" ht="14.25" customHeight="1" x14ac:dyDescent="0.3">
      <c r="A35" s="3" t="s">
        <v>67</v>
      </c>
      <c r="B35" s="3" t="s">
        <v>68</v>
      </c>
      <c r="C35" s="5" t="str">
        <f ca="1">IFERROR(__xludf.DUMMYFUNCTION("GOOGLETRANSLATE(B35, ""tr"", ""en"" )"),"Not to have an eye, not to leave it alone")</f>
        <v>Not to have an eye, not to leave it alone</v>
      </c>
    </row>
    <row r="36" spans="1:3" ht="14.25" customHeight="1" x14ac:dyDescent="0.3">
      <c r="A36" s="3" t="s">
        <v>69</v>
      </c>
      <c r="B36" s="3" t="s">
        <v>70</v>
      </c>
      <c r="C36" s="5" t="str">
        <f ca="1">IFERROR(__xludf.DUMMYFUNCTION("GOOGLETRANSLATE(B36, ""tr"", ""en"" )"),"Nazlı child or young")</f>
        <v>Nazlı child or young</v>
      </c>
    </row>
    <row r="37" spans="1:3" ht="14.25" customHeight="1" x14ac:dyDescent="0.3">
      <c r="A37" s="3" t="s">
        <v>71</v>
      </c>
      <c r="B37" s="3" t="s">
        <v>72</v>
      </c>
      <c r="C37" s="5" t="str">
        <f ca="1">IFERROR(__xludf.DUMMYFUNCTION("GOOGLETRANSLATE(B37, ""tr"", ""en"" )"),"To suffer a lot, to endure distress, to fall into exhausted")</f>
        <v>To suffer a lot, to endure distress, to fall into exhausted</v>
      </c>
    </row>
    <row r="38" spans="1:3" ht="14.25" customHeight="1" x14ac:dyDescent="0.3">
      <c r="A38" s="3" t="s">
        <v>73</v>
      </c>
      <c r="B38" s="3" t="s">
        <v>74</v>
      </c>
      <c r="C38" s="5" t="str">
        <f ca="1">IFERROR(__xludf.DUMMYFUNCTION("GOOGLETRANSLATE(B38, ""tr"", ""en"" )"),"To harass your life by tormenting a lot, to upset someone very much")</f>
        <v>To harass your life by tormenting a lot, to upset someone very much</v>
      </c>
    </row>
    <row r="39" spans="1:3" ht="14.25" customHeight="1" x14ac:dyDescent="0.3">
      <c r="A39" s="3" t="s">
        <v>75</v>
      </c>
      <c r="B39" s="3" t="s">
        <v>76</v>
      </c>
      <c r="C39" s="5" t="str">
        <f ca="1">IFERROR(__xludf.DUMMYFUNCTION("GOOGLETRANSLATE(B39, ""tr"", ""en"" )"),"To torment a person and suffer")</f>
        <v>To torment a person and suffer</v>
      </c>
    </row>
    <row r="40" spans="1:3" ht="14.25" customHeight="1" x14ac:dyDescent="0.3">
      <c r="A40" s="3" t="s">
        <v>77</v>
      </c>
      <c r="B40" s="3" t="s">
        <v>78</v>
      </c>
      <c r="C40" s="5" t="str">
        <f ca="1">IFERROR(__xludf.DUMMYFUNCTION("GOOGLETRANSLATE(B40, ""tr"", ""en"" )"),"We will not leave each other, if things go well, if they go bad, we will do it together, we will not break the draw")</f>
        <v>We will not leave each other, if things go well, if they go bad, we will do it together, we will not break the draw</v>
      </c>
    </row>
    <row r="41" spans="1:3" ht="14.25" customHeight="1" x14ac:dyDescent="0.3">
      <c r="A41" s="3" t="s">
        <v>79</v>
      </c>
      <c r="B41" s="3" t="s">
        <v>80</v>
      </c>
      <c r="C41" s="5" t="str">
        <f ca="1">IFERROR(__xludf.DUMMYFUNCTION("GOOGLETRANSLATE(B41, ""tr"", ""en"" )"),"Reconcile people who cannot agree with each other and cannot come together")</f>
        <v>Reconcile people who cannot agree with each other and cannot come together</v>
      </c>
    </row>
    <row r="42" spans="1:3" ht="14.25" customHeight="1" x14ac:dyDescent="0.3">
      <c r="A42" s="3" t="s">
        <v>81</v>
      </c>
      <c r="B42" s="3" t="s">
        <v>82</v>
      </c>
      <c r="C42" s="5" t="str">
        <f ca="1">IFERROR(__xludf.DUMMYFUNCTION("GOOGLETRANSLATE(B42, ""tr"", ""en"" )"),"Good relationships, friendships, friendship ties break; come to each other")</f>
        <v>Good relationships, friendships, friendship ties break; come to each other</v>
      </c>
    </row>
    <row r="43" spans="1:3" ht="14.25" customHeight="1" x14ac:dyDescent="0.3">
      <c r="A43" s="3" t="s">
        <v>83</v>
      </c>
      <c r="B43" s="3" t="s">
        <v>84</v>
      </c>
      <c r="C43" s="5" t="str">
        <f ca="1">IFERROR(__xludf.DUMMYFUNCTION("GOOGLETRANSLATE(B43, ""tr"", ""en"" )"),"The relationships of two people or friends who dealt well, to break the coldness between them, to be offended by each other")</f>
        <v>The relationships of two people or friends who dealt well, to break the coldness between them, to be offended by each other</v>
      </c>
    </row>
    <row r="44" spans="1:3" ht="14.25" customHeight="1" x14ac:dyDescent="0.3">
      <c r="A44" s="3" t="s">
        <v>85</v>
      </c>
      <c r="B44" s="3" t="s">
        <v>86</v>
      </c>
      <c r="C44" s="5" t="str">
        <f ca="1">IFERROR(__xludf.DUMMYFUNCTION("GOOGLETRANSLATE(B44, ""tr"", ""en"" )"),"Very good, very close friendship or friendship, being a dude")</f>
        <v>Very good, very close friendship or friendship, being a dude</v>
      </c>
    </row>
    <row r="45" spans="1:3" ht="14.25" customHeight="1" x14ac:dyDescent="0.3">
      <c r="A45" s="3" t="s">
        <v>87</v>
      </c>
      <c r="B45" s="3" t="s">
        <v>88</v>
      </c>
      <c r="C45" s="5" t="str">
        <f ca="1">IFERROR(__xludf.DUMMYFUNCTION("GOOGLETRANSLATE(B45, ""tr"", ""en"" )"),"That things get too confused and get an inextricable situation")</f>
        <v>That things get too confused and get an inextricable situation</v>
      </c>
    </row>
    <row r="46" spans="1:3" ht="14.25" customHeight="1" x14ac:dyDescent="0.3">
      <c r="A46" s="3" t="s">
        <v>89</v>
      </c>
      <c r="B46" s="3" t="s">
        <v>90</v>
      </c>
      <c r="C46" s="5" t="str">
        <f ca="1">IFERROR(__xludf.DUMMYFUNCTION("GOOGLETRANSLATE(B46, ""tr"", ""en"" )"),"reconcile and reconcile two people who are open")</f>
        <v>reconcile and reconcile two people who are open</v>
      </c>
    </row>
    <row r="47" spans="1:3" ht="14.25" customHeight="1" x14ac:dyDescent="0.3">
      <c r="A47" s="3" t="s">
        <v>91</v>
      </c>
      <c r="B47" s="3" t="s">
        <v>92</v>
      </c>
      <c r="C47" s="5" t="str">
        <f ca="1">IFERROR(__xludf.DUMMYFUNCTION("GOOGLETRANSLATE(B47, ""tr"", ""en"" )"),"Shamelessly doing things to do without getting bored, quitting shame, being brazen")</f>
        <v>Shamelessly doing things to do without getting bored, quitting shame, being brazen</v>
      </c>
    </row>
    <row r="48" spans="1:3" ht="14.25" customHeight="1" x14ac:dyDescent="0.3">
      <c r="A48" s="3" t="s">
        <v>93</v>
      </c>
      <c r="B48" s="3" t="s">
        <v>94</v>
      </c>
      <c r="C48" s="5" t="str">
        <f ca="1">IFERROR(__xludf.DUMMYFUNCTION("GOOGLETRANSLATE(B48, ""tr"", ""en"" )"),"To be a lot of those who come and come and go")</f>
        <v>To be a lot of those who come and come and go</v>
      </c>
    </row>
    <row r="49" spans="1:3" ht="14.25" customHeight="1" x14ac:dyDescent="0.3">
      <c r="A49" s="3" t="s">
        <v>95</v>
      </c>
      <c r="B49" s="3" t="s">
        <v>96</v>
      </c>
      <c r="C49" s="5" t="str">
        <f ca="1">IFERROR(__xludf.DUMMYFUNCTION("GOOGLETRANSLATE(B49, ""tr"", ""en"" )"),"Against someone, protecting someone; defending, favoritism")</f>
        <v>Against someone, protecting someone; defending, favoritism</v>
      </c>
    </row>
    <row r="50" spans="1:3" ht="14.25" customHeight="1" x14ac:dyDescent="0.3">
      <c r="A50" s="3" t="s">
        <v>97</v>
      </c>
      <c r="B50" s="3" t="s">
        <v>98</v>
      </c>
      <c r="C50" s="5" t="str">
        <f ca="1">IFERROR(__xludf.DUMMYFUNCTION("GOOGLETRANSLATE(B50, ""tr"", ""en"" )"),"Secretly evil to a person who believes and trusts him")</f>
        <v>Secretly evil to a person who believes and trusts him</v>
      </c>
    </row>
    <row r="51" spans="1:3" ht="14.25" customHeight="1" x14ac:dyDescent="0.3">
      <c r="A51" s="3" t="s">
        <v>99</v>
      </c>
      <c r="B51" s="3" t="s">
        <v>100</v>
      </c>
      <c r="C51" s="5" t="str">
        <f ca="1">IFERROR(__xludf.DUMMYFUNCTION("GOOGLETRANSLATE(B51, ""tr"", ""en"" )"),"The status of those who are ready to be ready for a job without any effort, and wait for them to come to their feet.")</f>
        <v>The status of those who are ready to be ready for a job without any effort, and wait for them to come to their feet.</v>
      </c>
    </row>
    <row r="52" spans="1:3" ht="14.25" customHeight="1" x14ac:dyDescent="0.3">
      <c r="A52" s="3" t="s">
        <v>101</v>
      </c>
      <c r="B52" s="3" t="s">
        <v>102</v>
      </c>
      <c r="C52" s="5" t="str">
        <f ca="1">IFERROR(__xludf.DUMMYFUNCTION("GOOGLETRANSLATE(B52, ""tr"", ""en"" )"),"Go through a little")</f>
        <v>Go through a little</v>
      </c>
    </row>
    <row r="53" spans="1:3" ht="14.25" customHeight="1" x14ac:dyDescent="0.3">
      <c r="A53" s="3" t="s">
        <v>103</v>
      </c>
      <c r="B53" s="3" t="s">
        <v>104</v>
      </c>
      <c r="C53" s="5" t="str">
        <f ca="1">IFERROR(__xludf.DUMMYFUNCTION("GOOGLETRANSLATE(B53, ""tr"", ""en"" )"),"Torture, to make cruel attitudes")</f>
        <v>Torture, to make cruel attitudes</v>
      </c>
    </row>
    <row r="54" spans="1:3" ht="14.25" customHeight="1" x14ac:dyDescent="0.3">
      <c r="A54" s="3" t="s">
        <v>105</v>
      </c>
      <c r="B54" s="3" t="s">
        <v>106</v>
      </c>
      <c r="C54" s="5" t="str">
        <f ca="1">IFERROR(__xludf.DUMMYFUNCTION("GOOGLETRANSLATE(B54, ""tr"", ""en"" )"),"Delaying, postponing as uncertain, not doing a job on time and defending")</f>
        <v>Delaying, postponing as uncertain, not doing a job on time and defending</v>
      </c>
    </row>
    <row r="55" spans="1:3" ht="14.25" customHeight="1" x14ac:dyDescent="0.3">
      <c r="A55" s="3" t="s">
        <v>107</v>
      </c>
      <c r="B55" s="3" t="s">
        <v>108</v>
      </c>
      <c r="C55" s="5" t="str">
        <f ca="1">IFERROR(__xludf.DUMMYFUNCTION("GOOGLETRANSLATE(B55, ""tr"", ""en"" )"),"Lie, being unfounded, not having a real share")</f>
        <v>Lie, being unfounded, not having a real share</v>
      </c>
    </row>
    <row r="56" spans="1:3" ht="14.25" customHeight="1" x14ac:dyDescent="0.3">
      <c r="A56" s="3" t="s">
        <v>109</v>
      </c>
      <c r="B56" s="3" t="s">
        <v>110</v>
      </c>
      <c r="C56" s="5" t="str">
        <f ca="1">IFERROR(__xludf.DUMMYFUNCTION("GOOGLETRANSLATE(B56, ""tr"", ""en"" )"),"Very hard people who do not account for anyone because of their behavior")</f>
        <v>Very hard people who do not account for anyone because of their behavior</v>
      </c>
    </row>
    <row r="57" spans="1:3" ht="14.25" customHeight="1" x14ac:dyDescent="0.3">
      <c r="A57" s="3" t="s">
        <v>111</v>
      </c>
      <c r="B57" s="3" t="s">
        <v>112</v>
      </c>
      <c r="C57" s="5" t="str">
        <f ca="1">IFERROR(__xludf.DUMMYFUNCTION("GOOGLETRANSLATE(B57, ""tr"", ""en"" )"),"The obligation not to decide on one of the two opposing behaviors that are equal to their objectionable")</f>
        <v>The obligation not to decide on one of the two opposing behaviors that are equal to their objectionable</v>
      </c>
    </row>
    <row r="58" spans="1:3" ht="14.25" customHeight="1" x14ac:dyDescent="0.3">
      <c r="A58" s="3" t="s">
        <v>113</v>
      </c>
      <c r="B58" s="3" t="s">
        <v>114</v>
      </c>
      <c r="C58" s="5" t="str">
        <f ca="1">IFERROR(__xludf.DUMMYFUNCTION("GOOGLETRANSLATE(B58, ""tr"", ""en"" )"),"A job or event cannot be avoided, taking a dangerous situation")</f>
        <v>A job or event cannot be avoided, taking a dangerous situation</v>
      </c>
    </row>
    <row r="59" spans="1:3" ht="14.25" customHeight="1" x14ac:dyDescent="0.3">
      <c r="A59" s="3" t="s">
        <v>115</v>
      </c>
      <c r="B59" s="3" t="s">
        <v>116</v>
      </c>
      <c r="C59" s="5" t="str">
        <f ca="1">IFERROR(__xludf.DUMMYFUNCTION("GOOGLETRANSLATE(B59, ""tr"", ""en"" )"),"To put someone in a very dangerous job")</f>
        <v>To put someone in a very dangerous job</v>
      </c>
    </row>
    <row r="60" spans="1:3" ht="14.25" customHeight="1" x14ac:dyDescent="0.3">
      <c r="A60" s="3" t="s">
        <v>117</v>
      </c>
      <c r="B60" s="3" t="s">
        <v>118</v>
      </c>
      <c r="C60" s="5" t="str">
        <f ca="1">IFERROR(__xludf.DUMMYFUNCTION("GOOGLETRANSLATE(B60, ""tr"", ""en"" )"),"Going on a very dangerous, harmful job or going to do such a job")</f>
        <v>Going on a very dangerous, harmful job or going to do such a job</v>
      </c>
    </row>
    <row r="61" spans="1:3" ht="14.25" customHeight="1" x14ac:dyDescent="0.3">
      <c r="A61" s="3" t="s">
        <v>119</v>
      </c>
      <c r="B61" s="3" t="s">
        <v>120</v>
      </c>
      <c r="C61" s="5" t="str">
        <f ca="1">IFERROR(__xludf.DUMMYFUNCTION("GOOGLETRANSLATE(B61, ""tr"", ""en"" )"),"Very expensive")</f>
        <v>Very expensive</v>
      </c>
    </row>
    <row r="62" spans="1:3" ht="14.25" customHeight="1" x14ac:dyDescent="0.3">
      <c r="A62" s="3" t="s">
        <v>121</v>
      </c>
      <c r="B62" s="3" t="s">
        <v>122</v>
      </c>
      <c r="C62" s="5" t="str">
        <f ca="1">IFERROR(__xludf.DUMMYFUNCTION("GOOGLETRANSLATE(B62, ""tr"", ""en"" )"),"To be very angry, to say heavy words")</f>
        <v>To be very angry, to say heavy words</v>
      </c>
    </row>
    <row r="63" spans="1:3" ht="14.25" customHeight="1" x14ac:dyDescent="0.3">
      <c r="A63" s="3" t="s">
        <v>123</v>
      </c>
      <c r="B63" s="3" t="s">
        <v>124</v>
      </c>
      <c r="C63" s="5" t="str">
        <f ca="1">IFERROR(__xludf.DUMMYFUNCTION("GOOGLETRANSLATE(B63, ""tr"", ""en"" )"),"The opportunity escaped, there is no thing to do anymore")</f>
        <v>The opportunity escaped, there is no thing to do anymore</v>
      </c>
    </row>
    <row r="64" spans="1:3" ht="14.25" customHeight="1" x14ac:dyDescent="0.3">
      <c r="A64" s="3" t="s">
        <v>125</v>
      </c>
      <c r="B64" s="6" t="s">
        <v>126</v>
      </c>
      <c r="C64" s="5" t="str">
        <f ca="1">IFERROR(__xludf.DUMMYFUNCTION("GOOGLETRANSLATE(B64, ""tr"", ""en"" )"),"Saying that he will do things to overcome his own power, talking exaggerated, talking back and forth behind someone, making bad words")</f>
        <v>Saying that he will do things to overcome his own power, talking exaggerated, talking back and forth behind someone, making bad words</v>
      </c>
    </row>
    <row r="65" spans="1:3" ht="14.25" customHeight="1" x14ac:dyDescent="0.3">
      <c r="A65" s="3" t="s">
        <v>127</v>
      </c>
      <c r="B65" s="6" t="s">
        <v>128</v>
      </c>
      <c r="C65" s="5" t="str">
        <f ca="1">IFERROR(__xludf.DUMMYFUNCTION("GOOGLETRANSLATE(B65, ""tr"", ""en"" )"),"To go down to a place lower than the degree, from the position, from the important task.")</f>
        <v>To go down to a place lower than the degree, from the position, from the important task.</v>
      </c>
    </row>
    <row r="66" spans="1:3" ht="14.25" customHeight="1" x14ac:dyDescent="0.3">
      <c r="A66" s="3" t="s">
        <v>129</v>
      </c>
      <c r="B66" s="6" t="s">
        <v>130</v>
      </c>
      <c r="C66" s="5" t="str">
        <f ca="1">IFERROR(__xludf.DUMMYFUNCTION("GOOGLETRANSLATE(B66, ""tr"", ""en"" )"),"Not being able to take over what you hope, not to get what you expect")</f>
        <v>Not being able to take over what you hope, not to get what you expect</v>
      </c>
    </row>
    <row r="67" spans="1:3" ht="14.25" customHeight="1" x14ac:dyDescent="0.3">
      <c r="A67" s="3" t="s">
        <v>131</v>
      </c>
      <c r="B67" s="6" t="s">
        <v>132</v>
      </c>
      <c r="C67" s="5" t="str">
        <f ca="1">IFERROR(__xludf.DUMMYFUNCTION("GOOGLETRANSLATE(B67, ""tr"", ""en"" )"),"Come to one's own will")</f>
        <v>Come to one's own will</v>
      </c>
    </row>
    <row r="68" spans="1:3" ht="14.25" customHeight="1" x14ac:dyDescent="0.3">
      <c r="A68" s="3" t="s">
        <v>133</v>
      </c>
      <c r="B68" s="6" t="s">
        <v>134</v>
      </c>
      <c r="C68" s="5" t="str">
        <f ca="1">IFERROR(__xludf.DUMMYFUNCTION("GOOGLETRANSLATE(B68, ""tr"", ""en"" )"),"To prevent someone doing")</f>
        <v>To prevent someone doing</v>
      </c>
    </row>
    <row r="69" spans="1:3" ht="14.25" customHeight="1" x14ac:dyDescent="0.3">
      <c r="A69" s="3" t="s">
        <v>135</v>
      </c>
      <c r="B69" s="6" t="s">
        <v>136</v>
      </c>
      <c r="C69" s="5" t="str">
        <f ca="1">IFERROR(__xludf.DUMMYFUNCTION("GOOGLETRANSLATE(B69, ""tr"", ""en"" )"),"Begging and crying by humiliation")</f>
        <v>Begging and crying by humiliation</v>
      </c>
    </row>
    <row r="70" spans="1:3" ht="14.25" customHeight="1" x14ac:dyDescent="0.3">
      <c r="A70" s="3" t="s">
        <v>137</v>
      </c>
      <c r="B70" s="6" t="s">
        <v>138</v>
      </c>
      <c r="C70" s="5" t="str">
        <f ca="1">IFERROR(__xludf.DUMMYFUNCTION("GOOGLETRANSLATE(B70, ""tr"", ""en"" )"),"Get tired of waiting somewhere or wandering for a long time")</f>
        <v>Get tired of waiting somewhere or wandering for a long time</v>
      </c>
    </row>
    <row r="71" spans="1:3" ht="14.25" customHeight="1" x14ac:dyDescent="0.3">
      <c r="A71" s="3" t="s">
        <v>139</v>
      </c>
      <c r="B71" s="6" t="s">
        <v>140</v>
      </c>
      <c r="C71" s="5" t="str">
        <f ca="1">IFERROR(__xludf.DUMMYFUNCTION("GOOGLETRANSLATE(B71, ""tr"", ""en"" )"),"Being not to stop where he went before, interrupting the relationship and attention")</f>
        <v>Being not to stop where he went before, interrupting the relationship and attention</v>
      </c>
    </row>
    <row r="72" spans="1:3" ht="14.25" customHeight="1" x14ac:dyDescent="0.3">
      <c r="A72" s="3" t="s">
        <v>141</v>
      </c>
      <c r="B72" s="6" t="s">
        <v>142</v>
      </c>
      <c r="C72" s="5" t="str">
        <f ca="1">IFERROR(__xludf.DUMMYFUNCTION("GOOGLETRANSLATE(B72, ""tr"", ""en"" )"),"To be awake against the possible evils that someone will do against him is to be cautious")</f>
        <v>To be awake against the possible evils that someone will do against him is to be cautious</v>
      </c>
    </row>
    <row r="73" spans="1:3" ht="14.25" customHeight="1" x14ac:dyDescent="0.3">
      <c r="A73" s="3" t="s">
        <v>143</v>
      </c>
      <c r="B73" s="6" t="s">
        <v>144</v>
      </c>
      <c r="C73" s="5" t="str">
        <f ca="1">IFERROR(__xludf.DUMMYFUNCTION("GOOGLETRANSLATE(B73, ""tr"", ""en"" )"),"Finding a way to remove someone from the position, from the position")</f>
        <v>Finding a way to remove someone from the position, from the position</v>
      </c>
    </row>
    <row r="74" spans="1:3" ht="14.25" customHeight="1" x14ac:dyDescent="0.3">
      <c r="A74" s="3" t="s">
        <v>145</v>
      </c>
      <c r="B74" s="6" t="s">
        <v>146</v>
      </c>
      <c r="C74" s="5" t="str">
        <f ca="1">IFERROR(__xludf.DUMMYFUNCTION("GOOGLETRANSLATE(B74, ""tr"", ""en"" )"),"As soon as you can come from resting, without resting")</f>
        <v>As soon as you can come from resting, without resting</v>
      </c>
    </row>
    <row r="75" spans="1:3" ht="14.25" customHeight="1" x14ac:dyDescent="0.3">
      <c r="A75" s="3" t="s">
        <v>147</v>
      </c>
      <c r="B75" s="6" t="s">
        <v>148</v>
      </c>
      <c r="C75" s="5" t="str">
        <f ca="1">IFERROR(__xludf.DUMMYFUNCTION("GOOGLETRANSLATE(B75, ""tr"", ""en"" )"),"To do a given task")</f>
        <v>To do a given task</v>
      </c>
    </row>
    <row r="76" spans="1:3" ht="14.25" customHeight="1" x14ac:dyDescent="0.3">
      <c r="A76" s="3" t="s">
        <v>149</v>
      </c>
      <c r="B76" s="6" t="s">
        <v>150</v>
      </c>
      <c r="C76" s="5" t="str">
        <f ca="1">IFERROR(__xludf.DUMMYFUNCTION("GOOGLETRANSLATE(B76, ""tr"", ""en"" )"),"To adapt income to the expense, not to exceed income in expenditures")</f>
        <v>To adapt income to the expense, not to exceed income in expenditures</v>
      </c>
    </row>
    <row r="77" spans="1:3" ht="14.25" customHeight="1" x14ac:dyDescent="0.3">
      <c r="A77" s="3" t="s">
        <v>151</v>
      </c>
      <c r="B77" s="3" t="s">
        <v>152</v>
      </c>
      <c r="C77" s="5" t="str">
        <f ca="1">IFERROR(__xludf.DUMMYFUNCTION("GOOGLETRANSLATE(B77, ""tr"", ""en"" )"),"To insist on something, to resist, not to give up your own decision")</f>
        <v>To insist on something, to resist, not to give up your own decision</v>
      </c>
    </row>
    <row r="78" spans="1:3" ht="14.25" customHeight="1" x14ac:dyDescent="0.3">
      <c r="A78" s="3" t="s">
        <v>153</v>
      </c>
      <c r="B78" s="3" t="s">
        <v>154</v>
      </c>
      <c r="C78" s="5" t="str">
        <f ca="1">IFERROR(__xludf.DUMMYFUNCTION("GOOGLETRANSLATE(B78, ""tr"", ""en"" )"),"To disregard the things that need to be given, to chew")</f>
        <v>To disregard the things that need to be given, to chew</v>
      </c>
    </row>
    <row r="79" spans="1:3" ht="14.25" customHeight="1" x14ac:dyDescent="0.3">
      <c r="A79" s="3" t="s">
        <v>155</v>
      </c>
      <c r="B79" s="3" t="s">
        <v>156</v>
      </c>
      <c r="C79" s="5" t="str">
        <f ca="1">IFERROR(__xludf.DUMMYFUNCTION("GOOGLETRANSLATE(B79, ""tr"", ""en"" )"),"To ask for a place, reluctant")</f>
        <v>To ask for a place, reluctant</v>
      </c>
    </row>
    <row r="80" spans="1:3" ht="14.25" customHeight="1" x14ac:dyDescent="0.3">
      <c r="A80" s="3" t="s">
        <v>157</v>
      </c>
      <c r="B80" s="3" t="s">
        <v>158</v>
      </c>
      <c r="C80" s="5" t="str">
        <f ca="1">IFERROR(__xludf.DUMMYFUNCTION("GOOGLETRANSLATE(B80, ""tr"", ""en"" )"),"Who read a lot, answers every question, knows a lot, in mind what they read")</f>
        <v>Who read a lot, answers every question, knows a lot, in mind what they read</v>
      </c>
    </row>
    <row r="81" spans="1:3" ht="14.25" customHeight="1" x14ac:dyDescent="0.3">
      <c r="A81" s="3" t="s">
        <v>159</v>
      </c>
      <c r="B81" s="6" t="s">
        <v>160</v>
      </c>
      <c r="C81" s="5" t="str">
        <f ca="1">IFERROR(__xludf.DUMMYFUNCTION("GOOGLETRANSLATE(B81, ""tr"", ""en"" )"),"Useless, ignorant, manners, rude, bums, worthless people")</f>
        <v>Useless, ignorant, manners, rude, bums, worthless people</v>
      </c>
    </row>
    <row r="82" spans="1:3" ht="14.25" customHeight="1" x14ac:dyDescent="0.3">
      <c r="A82" s="3" t="s">
        <v>161</v>
      </c>
      <c r="B82" s="6" t="s">
        <v>162</v>
      </c>
      <c r="C82" s="5" t="str">
        <f ca="1">IFERROR(__xludf.DUMMYFUNCTION("GOOGLETRANSLATE(B82, ""tr"", ""en"" )"),"To resemble your own departure and behavior to someone else's")</f>
        <v>To resemble your own departure and behavior to someone else's</v>
      </c>
    </row>
    <row r="83" spans="1:3" ht="14.25" customHeight="1" x14ac:dyDescent="0.3">
      <c r="A83" s="3" t="s">
        <v>163</v>
      </c>
      <c r="B83" s="6" t="s">
        <v>164</v>
      </c>
      <c r="C83" s="5" t="str">
        <f ca="1">IFERROR(__xludf.DUMMYFUNCTION("GOOGLETRANSLATE(B83, ""tr"", ""en"" )"),"In a short time, in a hurry")</f>
        <v>In a short time, in a hurry</v>
      </c>
    </row>
    <row r="84" spans="1:3" ht="14.25" customHeight="1" x14ac:dyDescent="0.3">
      <c r="A84" s="3" t="s">
        <v>165</v>
      </c>
      <c r="B84" s="6" t="s">
        <v>166</v>
      </c>
      <c r="C84" s="5" t="str">
        <f ca="1">IFERROR(__xludf.DUMMYFUNCTION("GOOGLETRANSLATE(B84, ""tr"", ""en"" )"),"A job is quite complicated, entangled, difficult to get out of")</f>
        <v>A job is quite complicated, entangled, difficult to get out of</v>
      </c>
    </row>
    <row r="85" spans="1:3" ht="14.25" customHeight="1" x14ac:dyDescent="0.3">
      <c r="A85" s="3" t="s">
        <v>167</v>
      </c>
      <c r="B85" s="3" t="s">
        <v>168</v>
      </c>
      <c r="C85" s="5" t="str">
        <f ca="1">IFERROR(__xludf.DUMMYFUNCTION("GOOGLETRANSLATE(B85, ""tr"", ""en"" )"),"Without getting any interest, just for good")</f>
        <v>Without getting any interest, just for good</v>
      </c>
    </row>
    <row r="86" spans="1:3" ht="14.25" customHeight="1" x14ac:dyDescent="0.3">
      <c r="A86" s="3" t="s">
        <v>169</v>
      </c>
      <c r="B86" s="3" t="s">
        <v>170</v>
      </c>
      <c r="C86" s="5" t="str">
        <f ca="1">IFERROR(__xludf.DUMMYFUNCTION("GOOGLETRANSLATE(B86, ""tr"", ""en"" )"),"Small; short")</f>
        <v>Small; short</v>
      </c>
    </row>
    <row r="87" spans="1:3" ht="14.25" customHeight="1" x14ac:dyDescent="0.3">
      <c r="A87" s="3" t="s">
        <v>171</v>
      </c>
      <c r="B87" s="3" t="s">
        <v>172</v>
      </c>
      <c r="C87" s="5" t="str">
        <f ca="1">IFERROR(__xludf.DUMMYFUNCTION("GOOGLETRANSLATE(B87, ""tr"", ""en"" )"),"Show love and take it to the protection")</f>
        <v>Show love and take it to the protection</v>
      </c>
    </row>
    <row r="88" spans="1:3" ht="14.25" customHeight="1" x14ac:dyDescent="0.3">
      <c r="A88" s="3" t="s">
        <v>173</v>
      </c>
      <c r="B88" s="3" t="s">
        <v>174</v>
      </c>
      <c r="C88" s="5" t="str">
        <f ca="1">IFERROR(__xludf.DUMMYFUNCTION("GOOGLETRANSLATE(B88, ""tr"", ""en"" )"),"Very troubled, painful (nobody).")</f>
        <v>Very troubled, painful (nobody).</v>
      </c>
    </row>
    <row r="89" spans="1:3" ht="14.25" customHeight="1" x14ac:dyDescent="0.3">
      <c r="A89" s="3" t="s">
        <v>175</v>
      </c>
      <c r="B89" s="6" t="s">
        <v>176</v>
      </c>
      <c r="C89" s="5" t="str">
        <f ca="1">IFERROR(__xludf.DUMMYFUNCTION("GOOGLETRANSLATE(B89, ""tr"", ""en"" )"),"Going on the way to work; Fortune is clear, the chance is clear")</f>
        <v>Going on the way to work; Fortune is clear, the chance is clear</v>
      </c>
    </row>
    <row r="90" spans="1:3" ht="14.25" customHeight="1" x14ac:dyDescent="0.3">
      <c r="A90" s="3" t="s">
        <v>177</v>
      </c>
      <c r="B90" s="6" t="s">
        <v>178</v>
      </c>
      <c r="C90" s="5" t="str">
        <f ca="1">IFERROR(__xludf.DUMMYFUNCTION("GOOGLETRANSLATE(B90, ""tr"", ""en"" )"),"Not to walk as you wish")</f>
        <v>Not to walk as you wish</v>
      </c>
    </row>
    <row r="91" spans="1:3" ht="14.25" customHeight="1" x14ac:dyDescent="0.3">
      <c r="A91" s="3" t="s">
        <v>179</v>
      </c>
      <c r="B91" s="6" t="s">
        <v>180</v>
      </c>
      <c r="C91" s="5" t="str">
        <f ca="1">IFERROR(__xludf.DUMMYFUNCTION("GOOGLETRANSLATE(B91, ""tr"", ""en"" )"),"Whose fortune is bad")</f>
        <v>Whose fortune is bad</v>
      </c>
    </row>
    <row r="92" spans="1:3" ht="14.25" customHeight="1" x14ac:dyDescent="0.3">
      <c r="A92" s="3" t="s">
        <v>181</v>
      </c>
      <c r="B92" s="3" t="s">
        <v>182</v>
      </c>
      <c r="C92" s="5" t="str">
        <f ca="1">IFERROR(__xludf.DUMMYFUNCTION("GOOGLETRANSLATE(B92, ""tr"", ""en"" )"),"Explain the things he keeps secret")</f>
        <v>Explain the things he keeps secret</v>
      </c>
    </row>
    <row r="93" spans="1:3" ht="14.25" customHeight="1" x14ac:dyDescent="0.3">
      <c r="A93" s="3" t="s">
        <v>183</v>
      </c>
      <c r="B93" s="3" t="s">
        <v>184</v>
      </c>
      <c r="C93" s="5" t="str">
        <f ca="1">IFERROR(__xludf.DUMMYFUNCTION("GOOGLETRANSLATE(B93, ""tr"", ""en"" )"),"All right,")</f>
        <v>All right,</v>
      </c>
    </row>
    <row r="94" spans="1:3" ht="14.25" customHeight="1" x14ac:dyDescent="0.3">
      <c r="A94" s="3" t="s">
        <v>185</v>
      </c>
      <c r="B94" s="6" t="s">
        <v>186</v>
      </c>
      <c r="C94" s="5" t="str">
        <f ca="1">IFERROR(__xludf.DUMMYFUNCTION("GOOGLETRANSLATE(B94, ""tr"", ""en"" )"),"Very cramped, on top of each other, crowded")</f>
        <v>Very cramped, on top of each other, crowded</v>
      </c>
    </row>
    <row r="95" spans="1:3" ht="14.25" customHeight="1" x14ac:dyDescent="0.3">
      <c r="A95" s="3" t="s">
        <v>187</v>
      </c>
      <c r="B95" s="6" t="s">
        <v>188</v>
      </c>
      <c r="C95" s="5" t="str">
        <f ca="1">IFERROR(__xludf.DUMMYFUNCTION("GOOGLETRANSLATE(B95, ""tr"", ""en"" )"),"Saying a word that will disturb the other person without realizing it")</f>
        <v>Saying a word that will disturb the other person without realizing it</v>
      </c>
    </row>
    <row r="96" spans="1:3" ht="14.25" customHeight="1" x14ac:dyDescent="0.3">
      <c r="A96" s="3" t="s">
        <v>189</v>
      </c>
      <c r="B96" s="3" t="s">
        <v>190</v>
      </c>
      <c r="C96" s="5" t="str">
        <f ca="1">IFERROR(__xludf.DUMMYFUNCTION("GOOGLETRANSLATE(B96, ""tr"", ""en"" )"),"Saying a word that will make a person angry about something that is sensitive, to behave")</f>
        <v>Saying a word that will make a person angry about something that is sensitive, to behave</v>
      </c>
    </row>
    <row r="97" spans="1:3" ht="14.25" customHeight="1" x14ac:dyDescent="0.3">
      <c r="A97" s="3" t="s">
        <v>191</v>
      </c>
      <c r="B97" s="3" t="s">
        <v>192</v>
      </c>
      <c r="C97" s="5" t="str">
        <f ca="1">IFERROR(__xludf.DUMMYFUNCTION("GOOGLETRANSLATE(B97, ""tr"", ""en"" )"),"To rely on a challenging job, the factor, etc.")</f>
        <v>To rely on a challenging job, the factor, etc.</v>
      </c>
    </row>
    <row r="98" spans="1:3" ht="14.25" customHeight="1" x14ac:dyDescent="0.3">
      <c r="A98" s="3" t="s">
        <v>193</v>
      </c>
      <c r="B98" s="6" t="s">
        <v>194</v>
      </c>
      <c r="C98" s="5" t="str">
        <f ca="1">IFERROR(__xludf.DUMMYFUNCTION("GOOGLETRANSLATE(B98, ""tr"", ""en"" )"),"Without shaking")</f>
        <v>Without shaking</v>
      </c>
    </row>
    <row r="99" spans="1:3" ht="14.25" customHeight="1" x14ac:dyDescent="0.3">
      <c r="A99" s="3" t="s">
        <v>195</v>
      </c>
      <c r="B99" s="6" t="s">
        <v>196</v>
      </c>
      <c r="C99" s="5" t="str">
        <f ca="1">IFERROR(__xludf.DUMMYFUNCTION("GOOGLETRANSLATE(B99, ""tr"", ""en"" )"),"Equal, equivalent")</f>
        <v>Equal, equivalent</v>
      </c>
    </row>
    <row r="100" spans="1:3" ht="14.25" customHeight="1" x14ac:dyDescent="0.3">
      <c r="A100" s="3" t="s">
        <v>197</v>
      </c>
      <c r="B100" s="6" t="s">
        <v>198</v>
      </c>
      <c r="C100" s="5" t="str">
        <f ca="1">IFERROR(__xludf.DUMMYFUNCTION("GOOGLETRANSLATE(B100, ""tr"", ""en"" )"),"Being a pioneer in a job, being a pioneer in doing a job")</f>
        <v>Being a pioneer in a job, being a pioneer in doing a job</v>
      </c>
    </row>
    <row r="101" spans="1:3" ht="14.25" customHeight="1" x14ac:dyDescent="0.3">
      <c r="A101" s="3" t="s">
        <v>199</v>
      </c>
      <c r="B101" s="6" t="s">
        <v>200</v>
      </c>
      <c r="C101" s="5" t="str">
        <f ca="1">IFERROR(__xludf.DUMMYFUNCTION("GOOGLETRANSLATE(B101, ""tr"", ""en"" )"),"Be in a troubled situation")</f>
        <v>Be in a troubled situation</v>
      </c>
    </row>
    <row r="102" spans="1:3" ht="14.25" customHeight="1" x14ac:dyDescent="0.3">
      <c r="A102" s="3" t="s">
        <v>201</v>
      </c>
      <c r="B102" s="6" t="s">
        <v>202</v>
      </c>
      <c r="C102" s="5" t="str">
        <f ca="1">IFERROR(__xludf.DUMMYFUNCTION("GOOGLETRANSLATE(B102, ""tr"", ""en"" )"),"Honorable; honorable")</f>
        <v>Honorable; honorable</v>
      </c>
    </row>
    <row r="103" spans="1:3" ht="14.25" customHeight="1" x14ac:dyDescent="0.3">
      <c r="A103" s="3" t="s">
        <v>203</v>
      </c>
      <c r="B103" s="6" t="s">
        <v>204</v>
      </c>
      <c r="C103" s="5" t="str">
        <f ca="1">IFERROR(__xludf.DUMMYFUNCTION("GOOGLETRANSLATE(B103, ""tr"", ""en"" )"),"Clearly thinking, deciding,")</f>
        <v>Clearly thinking, deciding,</v>
      </c>
    </row>
    <row r="104" spans="1:3" ht="14.25" customHeight="1" x14ac:dyDescent="0.3">
      <c r="A104" s="3" t="s">
        <v>205</v>
      </c>
      <c r="B104" s="3" t="s">
        <v>206</v>
      </c>
      <c r="C104" s="5" t="str">
        <f ca="1">IFERROR(__xludf.DUMMYFUNCTION("GOOGLETRANSLATE(B104, ""tr"", ""en"" )"),"To have great happiness at an unexpected moment; so boasting")</f>
        <v>To have great happiness at an unexpected moment; so boasting</v>
      </c>
    </row>
    <row r="105" spans="1:3" ht="14.25" customHeight="1" x14ac:dyDescent="0.3">
      <c r="A105" s="3" t="s">
        <v>207</v>
      </c>
      <c r="B105" s="3" t="s">
        <v>208</v>
      </c>
      <c r="C105" s="5" t="str">
        <f ca="1">IFERROR(__xludf.DUMMYFUNCTION("GOOGLETRANSLATE(B105, ""tr"", ""en"" )"),"Acting the way he wants to get permission from anybody")</f>
        <v>Acting the way he wants to get permission from anybody</v>
      </c>
    </row>
    <row r="106" spans="1:3" ht="14.25" customHeight="1" x14ac:dyDescent="0.3">
      <c r="A106" s="3" t="s">
        <v>209</v>
      </c>
      <c r="B106" s="3" t="s">
        <v>210</v>
      </c>
      <c r="C106" s="5" t="str">
        <f ca="1">IFERROR(__xludf.DUMMYFUNCTION("GOOGLETRANSLATE(B106, ""tr"", ""en"" )"),"To be spoiled by knowing the tolerance and proximity of someone; go up")</f>
        <v>To be spoiled by knowing the tolerance and proximity of someone; go up</v>
      </c>
    </row>
    <row r="107" spans="1:3" ht="14.25" customHeight="1" x14ac:dyDescent="0.3">
      <c r="A107" s="3" t="s">
        <v>211</v>
      </c>
      <c r="B107" s="6" t="s">
        <v>212</v>
      </c>
      <c r="C107" s="5" t="str">
        <f ca="1">IFERROR(__xludf.DUMMYFUNCTION("GOOGLETRANSLATE(B107, ""tr"", ""en"" )"),"Preparing a secret plan to make someone bad; sock")</f>
        <v>Preparing a secret plan to make someone bad; sock</v>
      </c>
    </row>
    <row r="108" spans="1:3" ht="14.25" customHeight="1" x14ac:dyDescent="0.3">
      <c r="A108" s="3" t="s">
        <v>213</v>
      </c>
      <c r="B108" s="6" t="s">
        <v>214</v>
      </c>
      <c r="C108" s="5" t="str">
        <f ca="1">IFERROR(__xludf.DUMMYFUNCTION("GOOGLETRANSLATE(B108, ""tr"", ""en"" )"),"To hurt him by saying his goodness against the face of anyone he does good")</f>
        <v>To hurt him by saying his goodness against the face of anyone he does good</v>
      </c>
    </row>
    <row r="109" spans="1:3" ht="14.25" customHeight="1" x14ac:dyDescent="0.3">
      <c r="A109" s="3" t="s">
        <v>215</v>
      </c>
      <c r="B109" s="6" t="s">
        <v>216</v>
      </c>
      <c r="C109" s="5" t="str">
        <f ca="1">IFERROR(__xludf.DUMMYFUNCTION("GOOGLETRANSLATE(B109, ""tr"", ""en"" )"),"Docile, submission")</f>
        <v>Docile, submission</v>
      </c>
    </row>
    <row r="110" spans="1:3" ht="14.25" customHeight="1" x14ac:dyDescent="0.3">
      <c r="A110" s="3" t="s">
        <v>217</v>
      </c>
      <c r="B110" s="6" t="s">
        <v>218</v>
      </c>
      <c r="C110" s="5" t="str">
        <f ca="1">IFERROR(__xludf.DUMMYFUNCTION("GOOGLETRANSLATE(B110, ""tr"", ""en"" )"),"To end a relationship with someone who is uncomfortable and is now boring")</f>
        <v>To end a relationship with someone who is uncomfortable and is now boring</v>
      </c>
    </row>
    <row r="111" spans="1:3" ht="14.25" customHeight="1" x14ac:dyDescent="0.3">
      <c r="A111" s="3" t="s">
        <v>219</v>
      </c>
      <c r="B111" s="3" t="s">
        <v>220</v>
      </c>
      <c r="C111" s="5" t="str">
        <f ca="1">IFERROR(__xludf.DUMMYFUNCTION("GOOGLETRANSLATE(B111, ""tr"", ""en"" )"),"Wanting to do things that exceed the knowledge, skills and authority, to attempt to them")</f>
        <v>Wanting to do things that exceed the knowledge, skills and authority, to attempt to them</v>
      </c>
    </row>
    <row r="112" spans="1:3" ht="14.25" customHeight="1" x14ac:dyDescent="0.3">
      <c r="A112" s="3" t="s">
        <v>221</v>
      </c>
      <c r="B112" s="3" t="s">
        <v>222</v>
      </c>
      <c r="C112" s="5" t="str">
        <f ca="1">IFERROR(__xludf.DUMMYFUNCTION("GOOGLETRANSLATE(B112, ""tr"", ""en"" )"),"A sad, embarrassing event, a great trouble in the face of the situation")</f>
        <v>A sad, embarrassing event, a great trouble in the face of the situation</v>
      </c>
    </row>
    <row r="113" spans="1:3" ht="14.25" customHeight="1" x14ac:dyDescent="0.3">
      <c r="A113" s="3" t="s">
        <v>223</v>
      </c>
      <c r="B113" s="6" t="s">
        <v>224</v>
      </c>
      <c r="C113" s="5" t="str">
        <f ca="1">IFERROR(__xludf.DUMMYFUNCTION("GOOGLETRANSLATE(B113, ""tr"", ""en"" )"),"To get him away with any excuse")</f>
        <v>To get him away with any excuse</v>
      </c>
    </row>
    <row r="114" spans="1:3" ht="14.25" customHeight="1" x14ac:dyDescent="0.3">
      <c r="A114" s="3" t="s">
        <v>225</v>
      </c>
      <c r="B114" s="6" t="s">
        <v>226</v>
      </c>
      <c r="C114" s="5" t="str">
        <f ca="1">IFERROR(__xludf.DUMMYFUNCTION("GOOGLETRANSLATE(B114, ""tr"", ""en"" )"),"To like a lot, to have a great interest")</f>
        <v>To like a lot, to have a great interest</v>
      </c>
    </row>
    <row r="115" spans="1:3" ht="14.25" customHeight="1" x14ac:dyDescent="0.3">
      <c r="A115" s="3" t="s">
        <v>227</v>
      </c>
      <c r="B115" s="6" t="s">
        <v>228</v>
      </c>
      <c r="C115" s="5" t="str">
        <f ca="1">IFERROR(__xludf.DUMMYFUNCTION("GOOGLETRANSLATE(B115, ""tr"", ""en"" )"),"To ask someone to insist on something that will give boredom; eat the meat of his head")</f>
        <v>To ask someone to insist on something that will give boredom; eat the meat of his head</v>
      </c>
    </row>
    <row r="116" spans="1:3" ht="14.25" customHeight="1" x14ac:dyDescent="0.3">
      <c r="A116" s="3" t="s">
        <v>229</v>
      </c>
      <c r="B116" s="6" t="s">
        <v>230</v>
      </c>
      <c r="C116" s="5" t="str">
        <f ca="1">IFERROR(__xludf.DUMMYFUNCTION("GOOGLETRANSLATE(B116, ""tr"", ""en"" )"),"Talking a lot or noise and so on. causing the headache")</f>
        <v>Talking a lot or noise and so on. causing the headache</v>
      </c>
    </row>
    <row r="117" spans="1:3" ht="14.25" customHeight="1" x14ac:dyDescent="0.3">
      <c r="A117" s="3" t="s">
        <v>231</v>
      </c>
      <c r="B117" s="6" t="s">
        <v>232</v>
      </c>
      <c r="C117" s="5" t="str">
        <f ca="1">IFERROR(__xludf.DUMMYFUNCTION("GOOGLETRANSLATE(B117, ""tr"", ""en"" )"),"To be very sad when he missed an opportunity or fails")</f>
        <v>To be very sad when he missed an opportunity or fails</v>
      </c>
    </row>
    <row r="118" spans="1:3" ht="14.25" customHeight="1" x14ac:dyDescent="0.3">
      <c r="A118" s="3" t="s">
        <v>233</v>
      </c>
      <c r="B118" s="6" t="s">
        <v>234</v>
      </c>
      <c r="C118" s="5" t="str">
        <f ca="1">IFERROR(__xludf.DUMMYFUNCTION("GOOGLETRANSLATE(B118, ""tr"", ""en"" )"),"Put him in a dangerous situation, to harm him")</f>
        <v>Put him in a dangerous situation, to harm him</v>
      </c>
    </row>
    <row r="119" spans="1:3" ht="14.25" customHeight="1" x14ac:dyDescent="0.3">
      <c r="A119" s="3" t="s">
        <v>235</v>
      </c>
      <c r="B119" s="6" t="s">
        <v>236</v>
      </c>
      <c r="C119" s="5" t="str">
        <f ca="1">IFERROR(__xludf.DUMMYFUNCTION("GOOGLETRANSLATE(B119, ""tr"", ""en"" )"),"Encounter with any difficulty")</f>
        <v>Encounter with any difficulty</v>
      </c>
    </row>
    <row r="120" spans="1:3" ht="14.25" customHeight="1" x14ac:dyDescent="0.3">
      <c r="A120" s="3" t="s">
        <v>237</v>
      </c>
      <c r="B120" s="6" t="s">
        <v>238</v>
      </c>
      <c r="C120" s="5" t="str">
        <f ca="1">IFERROR(__xludf.DUMMYFUNCTION("GOOGLETRANSLATE(B120, ""tr"", ""en"" )"),"Very irregular, chaotic")</f>
        <v>Very irregular, chaotic</v>
      </c>
    </row>
    <row r="121" spans="1:3" ht="14.25" customHeight="1" x14ac:dyDescent="0.3">
      <c r="A121" s="3" t="s">
        <v>239</v>
      </c>
      <c r="B121" s="6" t="s">
        <v>240</v>
      </c>
      <c r="C121" s="5" t="str">
        <f ca="1">IFERROR(__xludf.DUMMYFUNCTION("GOOGLETRANSLATE(B121, ""tr"", ""en"" )"),"Uprising, rebellion, opposing")</f>
        <v>Uprising, rebellion, opposing</v>
      </c>
    </row>
    <row r="122" spans="1:3" ht="14.25" customHeight="1" x14ac:dyDescent="0.3">
      <c r="A122" s="3" t="s">
        <v>241</v>
      </c>
      <c r="B122" s="6" t="s">
        <v>242</v>
      </c>
      <c r="C122" s="5" t="str">
        <f ca="1">IFERROR(__xludf.DUMMYFUNCTION("GOOGLETRANSLATE(B122, ""tr"", ""en"" )"),"Without taking care, made in a random manner")</f>
        <v>Without taking care, made in a random manner</v>
      </c>
    </row>
    <row r="123" spans="1:3" ht="14.25" customHeight="1" x14ac:dyDescent="0.3">
      <c r="A123" s="3" t="s">
        <v>243</v>
      </c>
      <c r="B123" s="6" t="s">
        <v>244</v>
      </c>
      <c r="C123" s="5" t="str">
        <f ca="1">IFERROR(__xludf.DUMMYFUNCTION("GOOGLETRANSLATE(B123, ""tr"", ""en"" )"),"Trusting him, believing")</f>
        <v>Trusting him, believing</v>
      </c>
    </row>
    <row r="124" spans="1:3" ht="14.25" customHeight="1" x14ac:dyDescent="0.3">
      <c r="A124" s="3" t="s">
        <v>245</v>
      </c>
      <c r="B124" s="6" t="s">
        <v>246</v>
      </c>
      <c r="C124" s="5" t="str">
        <f ca="1">IFERROR(__xludf.DUMMYFUNCTION("GOOGLETRANSLATE(B124, ""tr"", ""en"" )"),"Regulate")</f>
        <v>Regulate</v>
      </c>
    </row>
    <row r="125" spans="1:3" ht="14.25" customHeight="1" x14ac:dyDescent="0.3">
      <c r="A125" s="3" t="s">
        <v>247</v>
      </c>
      <c r="B125" s="6" t="s">
        <v>248</v>
      </c>
      <c r="C125" s="5" t="str">
        <f ca="1">IFERROR(__xludf.DUMMYFUNCTION("GOOGLETRANSLATE(B125, ""tr"", ""en"" )"),"Holding the face of fear or excitement")</f>
        <v>Holding the face of fear or excitement</v>
      </c>
    </row>
    <row r="126" spans="1:3" ht="14.25" customHeight="1" x14ac:dyDescent="0.3">
      <c r="A126" s="3" t="s">
        <v>249</v>
      </c>
      <c r="B126" s="6" t="s">
        <v>250</v>
      </c>
      <c r="C126" s="5" t="str">
        <f ca="1">IFERROR(__xludf.DUMMYFUNCTION("GOOGLETRANSLATE(B126, ""tr"", ""en"" )"),"It has no value")</f>
        <v>It has no value</v>
      </c>
    </row>
    <row r="127" spans="1:3" ht="14.25" customHeight="1" x14ac:dyDescent="0.3">
      <c r="A127" s="3" t="s">
        <v>251</v>
      </c>
      <c r="B127" s="6" t="s">
        <v>252</v>
      </c>
      <c r="C127" s="5" t="str">
        <f ca="1">IFERROR(__xludf.DUMMYFUNCTION("GOOGLETRANSLATE(B127, ""tr"", ""en"" )"),"To be humiliated for their shames")</f>
        <v>To be humiliated for their shames</v>
      </c>
    </row>
    <row r="128" spans="1:3" ht="14.25" customHeight="1" x14ac:dyDescent="0.3">
      <c r="A128" s="3" t="s">
        <v>253</v>
      </c>
      <c r="B128" s="6" t="s">
        <v>254</v>
      </c>
      <c r="C128" s="5" t="str">
        <f ca="1">IFERROR(__xludf.DUMMYFUNCTION("GOOGLETRANSLATE(B128, ""tr"", ""en"" )"),"Poor, free")</f>
        <v>Poor, free</v>
      </c>
    </row>
    <row r="129" spans="1:3" ht="14.25" customHeight="1" x14ac:dyDescent="0.3">
      <c r="A129" s="3" t="s">
        <v>255</v>
      </c>
      <c r="B129" s="6" t="s">
        <v>256</v>
      </c>
      <c r="C129" s="5" t="str">
        <f ca="1">IFERROR(__xludf.DUMMYFUNCTION("GOOGLETRANSLATE(B129, ""tr"", ""en"" )"),"Getting bad news and coming to a situation that will not think of anything")</f>
        <v>Getting bad news and coming to a situation that will not think of anything</v>
      </c>
    </row>
    <row r="130" spans="1:3" ht="14.25" customHeight="1" x14ac:dyDescent="0.3">
      <c r="A130" s="3" t="s">
        <v>257</v>
      </c>
      <c r="B130" s="6" t="s">
        <v>258</v>
      </c>
      <c r="C130" s="5" t="str">
        <f ca="1">IFERROR(__xludf.DUMMYFUNCTION("GOOGLETRANSLATE(B130, ""tr"", ""en"" )"),"Lose the power to think healthy")</f>
        <v>Lose the power to think healthy</v>
      </c>
    </row>
    <row r="131" spans="1:3" ht="14.25" customHeight="1" x14ac:dyDescent="0.3">
      <c r="A131" s="3" t="s">
        <v>259</v>
      </c>
      <c r="B131" s="3" t="s">
        <v>260</v>
      </c>
      <c r="C131" s="5" t="str">
        <f ca="1">IFERROR(__xludf.DUMMYFUNCTION("GOOGLETRANSLATE(B131, ""tr"", ""en"" )"),"Boredom, trouble, to come into a situation that cannot be unbearable anymore")</f>
        <v>Boredom, trouble, to come into a situation that cannot be unbearable anymore</v>
      </c>
    </row>
    <row r="132" spans="1:3" ht="14.25" customHeight="1" x14ac:dyDescent="0.3">
      <c r="A132" s="3" t="s">
        <v>261</v>
      </c>
      <c r="B132" s="6" t="s">
        <v>262</v>
      </c>
      <c r="C132" s="5" t="str">
        <f ca="1">IFERROR(__xludf.DUMMYFUNCTION("GOOGLETRANSLATE(B132, ""tr"", ""en"" )"),"Very little difference, time")</f>
        <v>Very little difference, time</v>
      </c>
    </row>
    <row r="133" spans="1:3" ht="14.25" customHeight="1" x14ac:dyDescent="0.3">
      <c r="A133" s="3" t="s">
        <v>263</v>
      </c>
      <c r="B133" s="6" t="s">
        <v>264</v>
      </c>
      <c r="C133" s="5" t="str">
        <f ca="1">IFERROR(__xludf.DUMMYFUNCTION("GOOGLETRANSLATE(B133, ""tr"", ""en"" )"),"Laughing without making a manner by mocking someone's situation")</f>
        <v>Laughing without making a manner by mocking someone's situation</v>
      </c>
    </row>
    <row r="134" spans="1:3" ht="14.25" customHeight="1" x14ac:dyDescent="0.3">
      <c r="A134" s="3" t="s">
        <v>265</v>
      </c>
      <c r="B134" s="6" t="s">
        <v>266</v>
      </c>
      <c r="C134" s="5" t="str">
        <f ca="1">IFERROR(__xludf.DUMMYFUNCTION("GOOGLETRANSLATE(B134, ""tr"", ""en"" )"),"The most convenient, most suitable for a job, anyone")</f>
        <v>The most convenient, most suitable for a job, anyone</v>
      </c>
    </row>
    <row r="135" spans="1:3" ht="14.25" customHeight="1" x14ac:dyDescent="0.3">
      <c r="A135" s="3" t="s">
        <v>267</v>
      </c>
      <c r="B135" s="6" t="s">
        <v>268</v>
      </c>
      <c r="C135" s="5" t="str">
        <f ca="1">IFERROR(__xludf.DUMMYFUNCTION("GOOGLETRANSLATE(B135, ""tr"", ""en"" )"),"Act as he wants to listen to others")</f>
        <v>Act as he wants to listen to others</v>
      </c>
    </row>
    <row r="136" spans="1:3" ht="14.25" customHeight="1" x14ac:dyDescent="0.3">
      <c r="A136" s="3" t="s">
        <v>269</v>
      </c>
      <c r="B136" s="6" t="s">
        <v>270</v>
      </c>
      <c r="C136" s="5" t="str">
        <f ca="1">IFERROR(__xludf.DUMMYFUNCTION("GOOGLETRANSLATE(B136, ""tr"", ""en"" )"),"With his own work and power.")</f>
        <v>With his own work and power.</v>
      </c>
    </row>
    <row r="137" spans="1:3" ht="14.25" customHeight="1" x14ac:dyDescent="0.3">
      <c r="A137" s="3" t="s">
        <v>271</v>
      </c>
      <c r="B137" s="6" t="s">
        <v>272</v>
      </c>
      <c r="C137" s="5" t="str">
        <f ca="1">IFERROR(__xludf.DUMMYFUNCTION("GOOGLETRANSLATE(B137, ""tr"", ""en"" )"),"To put a pile of justification to deceive someone, to say deceptive words")</f>
        <v>To put a pile of justification to deceive someone, to say deceptive words</v>
      </c>
    </row>
    <row r="138" spans="1:3" ht="14.25" customHeight="1" x14ac:dyDescent="0.3">
      <c r="A138" s="3" t="s">
        <v>273</v>
      </c>
      <c r="B138" s="6" t="s">
        <v>274</v>
      </c>
      <c r="C138" s="5" t="str">
        <f ca="1">IFERROR(__xludf.DUMMYFUNCTION("GOOGLETRANSLATE(B138, ""tr"", ""en"" )"),"To eliminate something that is beneficial, to make it harmful to itself")</f>
        <v>To eliminate something that is beneficial, to make it harmful to itself</v>
      </c>
    </row>
    <row r="139" spans="1:3" ht="14.25" customHeight="1" x14ac:dyDescent="0.3">
      <c r="A139" s="3" t="s">
        <v>275</v>
      </c>
      <c r="B139" s="6" t="s">
        <v>276</v>
      </c>
      <c r="C139" s="5" t="str">
        <f ca="1">IFERROR(__xludf.DUMMYFUNCTION("GOOGLETRANSLATE(B139, ""tr"", ""en"" )"),"To make less progress of insignificant")</f>
        <v>To make less progress of insignificant</v>
      </c>
    </row>
    <row r="140" spans="1:3" ht="14.25" customHeight="1" x14ac:dyDescent="0.3">
      <c r="A140" s="3" t="s">
        <v>277</v>
      </c>
      <c r="B140" s="6" t="s">
        <v>278</v>
      </c>
      <c r="C140" s="5" t="str">
        <f ca="1">IFERROR(__xludf.DUMMYFUNCTION("GOOGLETRANSLATE(B140, ""tr"", ""en"" )"),"Very old, quite close to death")</f>
        <v>Very old, quite close to death</v>
      </c>
    </row>
    <row r="141" spans="1:3" ht="14.25" customHeight="1" x14ac:dyDescent="0.3">
      <c r="A141" s="3" t="s">
        <v>279</v>
      </c>
      <c r="B141" s="6" t="s">
        <v>280</v>
      </c>
      <c r="C141" s="5" t="str">
        <f ca="1">IFERROR(__xludf.DUMMYFUNCTION("GOOGLETRANSLATE(B141, ""tr"", ""en"" )"),"Keeping a particular job, having a profession")</f>
        <v>Keeping a particular job, having a profession</v>
      </c>
    </row>
    <row r="142" spans="1:3" ht="14.25" customHeight="1" x14ac:dyDescent="0.3">
      <c r="A142" s="3" t="s">
        <v>281</v>
      </c>
      <c r="B142" s="6" t="s">
        <v>282</v>
      </c>
      <c r="C142" s="5" t="str">
        <f ca="1">IFERROR(__xludf.DUMMYFUNCTION("GOOGLETRANSLATE(B142, ""tr"", ""en"" )"),"Enlarge a problem that is not called insignificant and make a fight")</f>
        <v>Enlarge a problem that is not called insignificant and make a fight</v>
      </c>
    </row>
    <row r="143" spans="1:3" ht="14.25" customHeight="1" x14ac:dyDescent="0.3">
      <c r="A143" s="3" t="s">
        <v>283</v>
      </c>
      <c r="B143" s="6" t="s">
        <v>284</v>
      </c>
      <c r="C143" s="5" t="str">
        <f ca="1">IFERROR(__xludf.DUMMYFUNCTION("GOOGLETRANSLATE(B143, ""tr"", ""en"" )"),"A job that goes well, in a wrong movement or by word")</f>
        <v>A job that goes well, in a wrong movement or by word</v>
      </c>
    </row>
    <row r="144" spans="1:3" ht="14.25" customHeight="1" x14ac:dyDescent="0.3">
      <c r="A144" s="3" t="s">
        <v>285</v>
      </c>
      <c r="B144" s="6" t="s">
        <v>286</v>
      </c>
      <c r="C144" s="5" t="str">
        <f ca="1">IFERROR(__xludf.DUMMYFUNCTION("GOOGLETRANSLATE(B144, ""tr"", ""en"" )"),"To fulfill everything you want")</f>
        <v>To fulfill everything you want</v>
      </c>
    </row>
    <row r="145" spans="1:3" ht="14.25" customHeight="1" x14ac:dyDescent="0.3">
      <c r="A145" s="3" t="s">
        <v>287</v>
      </c>
      <c r="B145" s="6" t="s">
        <v>288</v>
      </c>
      <c r="C145" s="5" t="str">
        <f ca="1">IFERROR(__xludf.DUMMYFUNCTION("GOOGLETRANSLATE(B145, ""tr"", ""en"" )"),"Very weak body")</f>
        <v>Very weak body</v>
      </c>
    </row>
    <row r="146" spans="1:3" ht="14.25" customHeight="1" x14ac:dyDescent="0.3">
      <c r="A146" s="3" t="s">
        <v>289</v>
      </c>
      <c r="B146" s="6" t="s">
        <v>290</v>
      </c>
      <c r="C146" s="5" t="str">
        <f ca="1">IFERROR(__xludf.DUMMYFUNCTION("GOOGLETRANSLATE(B146, ""tr"", ""en"" )"),"In wealth, abundance")</f>
        <v>In wealth, abundance</v>
      </c>
    </row>
    <row r="147" spans="1:3" ht="14.25" customHeight="1" x14ac:dyDescent="0.3">
      <c r="A147" s="3" t="s">
        <v>291</v>
      </c>
      <c r="B147" s="6" t="s">
        <v>292</v>
      </c>
      <c r="C147" s="5" t="str">
        <f ca="1">IFERROR(__xludf.DUMMYFUNCTION("GOOGLETRANSLATE(B147, ""tr"", ""en"" )"),"A sadness, disease and so on. weaken")</f>
        <v>A sadness, disease and so on. weaken</v>
      </c>
    </row>
    <row r="148" spans="1:3" ht="14.25" customHeight="1" x14ac:dyDescent="0.3">
      <c r="A148" s="3" t="s">
        <v>293</v>
      </c>
      <c r="B148" s="6" t="s">
        <v>294</v>
      </c>
      <c r="C148" s="5" t="str">
        <f ca="1">IFERROR(__xludf.DUMMYFUNCTION("GOOGLETRANSLATE(B148, ""tr"", ""en"" )"),"To be very angry with someone; grudge")</f>
        <v>To be very angry with someone; grudge</v>
      </c>
    </row>
    <row r="149" spans="1:3" ht="14.25" customHeight="1" x14ac:dyDescent="0.3">
      <c r="A149" s="3" t="s">
        <v>295</v>
      </c>
      <c r="B149" s="6" t="s">
        <v>296</v>
      </c>
      <c r="C149" s="5" t="str">
        <f ca="1">IFERROR(__xludf.DUMMYFUNCTION("GOOGLETRANSLATE(B149, ""tr"", ""en"" )"),"Not to pay attention to what is said, not to comply, not to consider them")</f>
        <v>Not to pay attention to what is said, not to comply, not to consider them</v>
      </c>
    </row>
    <row r="150" spans="1:3" ht="14.25" customHeight="1" x14ac:dyDescent="0.3">
      <c r="A150" s="3" t="s">
        <v>297</v>
      </c>
      <c r="B150" s="6" t="s">
        <v>298</v>
      </c>
      <c r="C150" s="5" t="str">
        <f ca="1">IFERROR(__xludf.DUMMYFUNCTION("GOOGLETRANSLATE(B150, ""tr"", ""en"" )"),"Not very smart")</f>
        <v>Not very smart</v>
      </c>
    </row>
    <row r="151" spans="1:3" ht="14.25" customHeight="1" x14ac:dyDescent="0.3">
      <c r="A151" s="3" t="s">
        <v>299</v>
      </c>
      <c r="B151" s="6" t="s">
        <v>300</v>
      </c>
      <c r="C151" s="5" t="str">
        <f ca="1">IFERROR(__xludf.DUMMYFUNCTION("GOOGLETRANSLATE(B151, ""tr"", ""en"" )"),"To achieve two useful results with a behavior")</f>
        <v>To achieve two useful results with a behavior</v>
      </c>
    </row>
    <row r="152" spans="1:3" ht="14.25" customHeight="1" x14ac:dyDescent="0.3">
      <c r="A152" s="3" t="s">
        <v>301</v>
      </c>
      <c r="B152" s="6" t="s">
        <v>302</v>
      </c>
      <c r="C152" s="5" t="str">
        <f ca="1">IFERROR(__xludf.DUMMYFUNCTION("GOOGLETRANSLATE(B152, ""tr"", ""en"" )"),"To encounter a wonderful brand new situation")</f>
        <v>To encounter a wonderful brand new situation</v>
      </c>
    </row>
    <row r="153" spans="1:3" ht="14.25" customHeight="1" x14ac:dyDescent="0.3">
      <c r="A153" s="3" t="s">
        <v>303</v>
      </c>
      <c r="B153" s="6" t="s">
        <v>304</v>
      </c>
      <c r="C153" s="5" t="str">
        <f ca="1">IFERROR(__xludf.DUMMYFUNCTION("GOOGLETRANSLATE(B153, ""tr"", ""en"" )"),"Excitement, fear, etc. not to say what to say")</f>
        <v>Excitement, fear, etc. not to say what to say</v>
      </c>
    </row>
    <row r="154" spans="1:3" ht="14.25" customHeight="1" x14ac:dyDescent="0.3">
      <c r="A154" s="3" t="s">
        <v>305</v>
      </c>
      <c r="B154" s="6" t="s">
        <v>306</v>
      </c>
      <c r="C154" s="5" t="str">
        <f ca="1">IFERROR(__xludf.DUMMYFUNCTION("GOOGLETRANSLATE(B154, ""tr"", ""en"" )"),"Making a break from food to increase money")</f>
        <v>Making a break from food to increase money</v>
      </c>
    </row>
    <row r="155" spans="1:3" ht="14.25" customHeight="1" x14ac:dyDescent="0.3">
      <c r="A155" s="3" t="s">
        <v>307</v>
      </c>
      <c r="B155" s="6" t="s">
        <v>308</v>
      </c>
      <c r="C155" s="5" t="str">
        <f ca="1">IFERROR(__xludf.DUMMYFUNCTION("GOOGLETRANSLATE(B155, ""tr"", ""en"" )"),"Without excessively")</f>
        <v>Without excessively</v>
      </c>
    </row>
    <row r="156" spans="1:3" ht="14.25" customHeight="1" x14ac:dyDescent="0.3">
      <c r="A156" s="3" t="s">
        <v>309</v>
      </c>
      <c r="B156" s="6" t="s">
        <v>310</v>
      </c>
      <c r="C156" s="5" t="str">
        <f ca="1">IFERROR(__xludf.DUMMYFUNCTION("GOOGLETRANSLATE(B156, ""tr"", ""en"" )"),"Finding promises that are difficult to fulfill")</f>
        <v>Finding promises that are difficult to fulfill</v>
      </c>
    </row>
    <row r="157" spans="1:3" ht="14.25" customHeight="1" x14ac:dyDescent="0.3">
      <c r="A157" s="3" t="s">
        <v>311</v>
      </c>
      <c r="B157" s="6" t="s">
        <v>312</v>
      </c>
      <c r="C157" s="5" t="str">
        <f ca="1">IFERROR(__xludf.DUMMYFUNCTION("GOOGLETRANSLATE(B157, ""tr"", ""en"" )"),"By borrowing, entering the debt")</f>
        <v>By borrowing, entering the debt</v>
      </c>
    </row>
    <row r="158" spans="1:3" ht="14.25" customHeight="1" x14ac:dyDescent="0.3">
      <c r="A158" s="3" t="s">
        <v>313</v>
      </c>
      <c r="B158" s="6" t="s">
        <v>314</v>
      </c>
      <c r="C158" s="5" t="str">
        <f ca="1">IFERROR(__xludf.DUMMYFUNCTION("GOOGLETRANSLATE(B158, ""tr"", ""en"" )"),"To be influence, to relax, to promise")</f>
        <v>To be influence, to relax, to promise</v>
      </c>
    </row>
    <row r="159" spans="1:3" ht="14.25" customHeight="1" x14ac:dyDescent="0.3">
      <c r="A159" s="3" t="s">
        <v>315</v>
      </c>
      <c r="B159" s="6" t="s">
        <v>316</v>
      </c>
      <c r="C159" s="5" t="str">
        <f ca="1">IFERROR(__xludf.DUMMYFUNCTION("GOOGLETRANSLATE(B159, ""tr"", ""en"" )"),"Getting positive results from a job that seems desperate")</f>
        <v>Getting positive results from a job that seems desperate</v>
      </c>
    </row>
    <row r="160" spans="1:3" ht="14.25" customHeight="1" x14ac:dyDescent="0.3">
      <c r="A160" s="3" t="s">
        <v>317</v>
      </c>
      <c r="B160" s="6" t="s">
        <v>318</v>
      </c>
      <c r="C160" s="5" t="str">
        <f ca="1">IFERROR(__xludf.DUMMYFUNCTION("GOOGLETRANSLATE(B160, ""tr"", ""en"" )"),"To be in a careless and pensive situation")</f>
        <v>To be in a careless and pensive situation</v>
      </c>
    </row>
    <row r="161" spans="1:3" ht="14.25" customHeight="1" x14ac:dyDescent="0.3">
      <c r="A161" s="3" t="s">
        <v>319</v>
      </c>
      <c r="B161" s="6" t="s">
        <v>320</v>
      </c>
      <c r="C161" s="5" t="str">
        <f ca="1">IFERROR(__xludf.DUMMYFUNCTION("GOOGLETRANSLATE(B161, ""tr"", ""en"" )"),"Unemployed")</f>
        <v>Unemployed</v>
      </c>
    </row>
    <row r="162" spans="1:3" ht="14.25" customHeight="1" x14ac:dyDescent="0.3">
      <c r="A162" s="3" t="s">
        <v>321</v>
      </c>
      <c r="B162" s="6" t="s">
        <v>322</v>
      </c>
      <c r="C162" s="5" t="str">
        <f ca="1">IFERROR(__xludf.DUMMYFUNCTION("GOOGLETRANSLATE(B162, ""tr"", ""en"" )"),"not paying attention, not to mind")</f>
        <v>not paying attention, not to mind</v>
      </c>
    </row>
    <row r="163" spans="1:3" ht="14.25" customHeight="1" x14ac:dyDescent="0.3">
      <c r="A163" s="3" t="s">
        <v>323</v>
      </c>
      <c r="B163" s="6" t="s">
        <v>324</v>
      </c>
      <c r="C163" s="5" t="str">
        <f ca="1">IFERROR(__xludf.DUMMYFUNCTION("GOOGLETRANSLATE(B163, ""tr"", ""en"" )"),"To look around for a show")</f>
        <v>To look around for a show</v>
      </c>
    </row>
    <row r="164" spans="1:3" ht="14.25" customHeight="1" x14ac:dyDescent="0.3">
      <c r="A164" s="3" t="s">
        <v>325</v>
      </c>
      <c r="B164" s="6" t="s">
        <v>326</v>
      </c>
      <c r="C164" s="5" t="str">
        <f ca="1">IFERROR(__xludf.DUMMYFUNCTION("GOOGLETRANSLATE(B164, ""tr"", ""en"" )"),"Something will be sorry")</f>
        <v>Something will be sorry</v>
      </c>
    </row>
    <row r="165" spans="1:3" ht="14.25" customHeight="1" x14ac:dyDescent="0.3">
      <c r="A165" s="3" t="s">
        <v>327</v>
      </c>
      <c r="B165" s="6" t="s">
        <v>328</v>
      </c>
      <c r="C165" s="5" t="str">
        <f ca="1">IFERROR(__xludf.DUMMYFUNCTION("GOOGLETRANSLATE(B165, ""tr"", ""en"" )"),"If it is understood that I am unfair, I will submit to every penalty to be given")</f>
        <v>If it is understood that I am unfair, I will submit to every penalty to be given</v>
      </c>
    </row>
    <row r="166" spans="1:3" ht="14.25" customHeight="1" x14ac:dyDescent="0.3">
      <c r="A166" s="3" t="s">
        <v>329</v>
      </c>
      <c r="B166" s="6" t="s">
        <v>330</v>
      </c>
      <c r="C166" s="5" t="str">
        <f ca="1">IFERROR(__xludf.DUMMYFUNCTION("GOOGLETRANSLATE(B166, ""tr"", ""en"" )"),"The work that a person has to do")</f>
        <v>The work that a person has to do</v>
      </c>
    </row>
    <row r="167" spans="1:3" ht="14.25" customHeight="1" x14ac:dyDescent="0.3">
      <c r="A167" s="3" t="s">
        <v>331</v>
      </c>
      <c r="B167" s="6" t="s">
        <v>332</v>
      </c>
      <c r="C167" s="5" t="str">
        <f ca="1">IFERROR(__xludf.DUMMYFUNCTION("GOOGLETRANSLATE(B167, ""tr"", ""en"" )"),"Losing your hand while trying to get something better")</f>
        <v>Losing your hand while trying to get something better</v>
      </c>
    </row>
    <row r="168" spans="1:3" ht="14.25" customHeight="1" x14ac:dyDescent="0.3">
      <c r="A168" s="3" t="s">
        <v>333</v>
      </c>
      <c r="B168" s="6" t="s">
        <v>334</v>
      </c>
      <c r="C168" s="5" t="str">
        <f ca="1">IFERROR(__xludf.DUMMYFUNCTION("GOOGLETRANSLATE(B168, ""tr"", ""en"" )"),"Attempting things he can't succeed")</f>
        <v>Attempting things he can't succeed</v>
      </c>
    </row>
    <row r="169" spans="1:3" ht="14.25" customHeight="1" x14ac:dyDescent="0.3">
      <c r="A169" s="3" t="s">
        <v>335</v>
      </c>
      <c r="B169" s="3" t="s">
        <v>336</v>
      </c>
      <c r="C169" s="5" t="str">
        <f ca="1">IFERROR(__xludf.DUMMYFUNCTION("GOOGLETRANSLATE(B169, ""tr"", ""en"" )"),"To force or unintentionally accept the request of a strong person")</f>
        <v>To force or unintentionally accept the request of a strong person</v>
      </c>
    </row>
    <row r="170" spans="1:3" ht="14.25" customHeight="1" x14ac:dyDescent="0.3">
      <c r="A170" s="3" t="s">
        <v>337</v>
      </c>
      <c r="B170" s="6" t="s">
        <v>338</v>
      </c>
      <c r="C170" s="5" t="str">
        <f ca="1">IFERROR(__xludf.DUMMYFUNCTION("GOOGLETRANSLATE(B170, ""tr"", ""en"" )"),"Understanding his incompetence or inadequate")</f>
        <v>Understanding his incompetence or inadequate</v>
      </c>
    </row>
    <row r="171" spans="1:3" ht="14.25" customHeight="1" x14ac:dyDescent="0.3">
      <c r="A171" s="3" t="s">
        <v>339</v>
      </c>
      <c r="B171" s="6" t="s">
        <v>340</v>
      </c>
      <c r="C171" s="5" t="str">
        <f ca="1">IFERROR(__xludf.DUMMYFUNCTION("GOOGLETRANSLATE(B171, ""tr"", ""en"" )"),"To reduce the value of a person to zero, to humiliate him with others")</f>
        <v>To reduce the value of a person to zero, to humiliate him with others</v>
      </c>
    </row>
    <row r="172" spans="1:3" ht="14.25" customHeight="1" x14ac:dyDescent="0.3">
      <c r="A172" s="3" t="s">
        <v>341</v>
      </c>
      <c r="B172" s="6" t="s">
        <v>342</v>
      </c>
      <c r="C172" s="5" t="str">
        <f ca="1">IFERROR(__xludf.DUMMYFUNCTION("GOOGLETRANSLATE(B172, ""tr"", ""en"" )"),"To act as if he did not understand, see, not heard what is happening, to manage the situation")</f>
        <v>To act as if he did not understand, see, not heard what is happening, to manage the situation</v>
      </c>
    </row>
    <row r="173" spans="1:3" ht="14.25" customHeight="1" x14ac:dyDescent="0.3">
      <c r="A173" s="3" t="s">
        <v>343</v>
      </c>
      <c r="B173" s="6" t="s">
        <v>344</v>
      </c>
      <c r="C173" s="5" t="str">
        <f ca="1">IFERROR(__xludf.DUMMYFUNCTION("GOOGLETRANSLATE(B173, ""tr"", ""en"" )"),"Rare, something very valuable or nobody")</f>
        <v>Rare, something very valuable or nobody</v>
      </c>
    </row>
    <row r="174" spans="1:3" ht="14.25" customHeight="1" x14ac:dyDescent="0.3">
      <c r="A174" s="3" t="s">
        <v>345</v>
      </c>
      <c r="B174" s="6" t="s">
        <v>346</v>
      </c>
      <c r="C174" s="5" t="str">
        <f ca="1">IFERROR(__xludf.DUMMYFUNCTION("GOOGLETRANSLATE(B174, ""tr"", ""en"" )"),"To be taken from even the smallest, to be very touchy")</f>
        <v>To be taken from even the smallest, to be very touchy</v>
      </c>
    </row>
    <row r="175" spans="1:3" ht="14.25" customHeight="1" x14ac:dyDescent="0.3">
      <c r="A175" s="3" t="s">
        <v>347</v>
      </c>
      <c r="B175" s="6" t="s">
        <v>348</v>
      </c>
      <c r="C175" s="5" t="str">
        <f ca="1">IFERROR(__xludf.DUMMYFUNCTION("GOOGLETRANSLATE(B175, ""tr"", ""en"" )"),"His words and behaviors do not hold each other")</f>
        <v>His words and behaviors do not hold each other</v>
      </c>
    </row>
    <row r="176" spans="1:3" ht="14.25" customHeight="1" x14ac:dyDescent="0.3">
      <c r="A176" s="3" t="s">
        <v>349</v>
      </c>
      <c r="B176" s="6" t="s">
        <v>350</v>
      </c>
      <c r="C176" s="5" t="str">
        <f ca="1">IFERROR(__xludf.DUMMYFUNCTION("GOOGLETRANSLATE(B176, ""tr"", ""en"" )"),"To regret that you will do something to do something")</f>
        <v>To regret that you will do something to do something</v>
      </c>
    </row>
    <row r="177" spans="1:3" ht="14.25" customHeight="1" x14ac:dyDescent="0.3">
      <c r="A177" s="3" t="s">
        <v>351</v>
      </c>
      <c r="B177" s="6" t="s">
        <v>352</v>
      </c>
      <c r="C177" s="5" t="str">
        <f ca="1">IFERROR(__xludf.DUMMYFUNCTION("GOOGLETRANSLATE(B177, ""tr"", ""en"" )"),"Not to make a word, to be grumpy and proud, not to tolerate criticism")</f>
        <v>Not to make a word, to be grumpy and proud, not to tolerate criticism</v>
      </c>
    </row>
    <row r="178" spans="1:3" ht="14.25" customHeight="1" x14ac:dyDescent="0.3">
      <c r="A178" s="3" t="s">
        <v>353</v>
      </c>
      <c r="B178" s="6" t="s">
        <v>354</v>
      </c>
      <c r="C178" s="5" t="str">
        <f ca="1">IFERROR(__xludf.DUMMYFUNCTION("GOOGLETRANSLATE(B178, ""tr"", ""en"" )"),"Getting angry, getting angry")</f>
        <v>Getting angry, getting angry</v>
      </c>
    </row>
    <row r="179" spans="1:3" ht="14.25" customHeight="1" x14ac:dyDescent="0.3">
      <c r="A179" s="3" t="s">
        <v>355</v>
      </c>
      <c r="B179" s="6" t="s">
        <v>356</v>
      </c>
      <c r="C179" s="5" t="str">
        <f ca="1">IFERROR(__xludf.DUMMYFUNCTION("GOOGLETRANSLATE(B179, ""tr"", ""en"" )"),"To miss a lot, to want, to call")</f>
        <v>To miss a lot, to want, to call</v>
      </c>
    </row>
    <row r="180" spans="1:3" ht="14.25" customHeight="1" x14ac:dyDescent="0.3">
      <c r="A180" s="3" t="s">
        <v>357</v>
      </c>
      <c r="B180" s="6" t="s">
        <v>358</v>
      </c>
      <c r="C180" s="5" t="str">
        <f ca="1">IFERROR(__xludf.DUMMYFUNCTION("GOOGLETRANSLATE(B180, ""tr"", ""en"" )"),"Not listening to the advice of others and acting as he knows")</f>
        <v>Not listening to the advice of others and acting as he knows</v>
      </c>
    </row>
    <row r="181" spans="1:3" ht="14.25" customHeight="1" x14ac:dyDescent="0.3">
      <c r="A181" s="3" t="s">
        <v>359</v>
      </c>
      <c r="B181" s="6" t="s">
        <v>360</v>
      </c>
      <c r="C181" s="5" t="str">
        <f ca="1">IFERROR(__xludf.DUMMYFUNCTION("GOOGLETRANSLATE(B181, ""tr"", ""en"" )"),"Interfering")</f>
        <v>Interfering</v>
      </c>
    </row>
    <row r="182" spans="1:3" ht="14.25" customHeight="1" x14ac:dyDescent="0.3">
      <c r="A182" s="3" t="s">
        <v>361</v>
      </c>
      <c r="B182" s="6" t="s">
        <v>362</v>
      </c>
      <c r="C182" s="5" t="str">
        <f ca="1">IFERROR(__xludf.DUMMYFUNCTION("GOOGLETRANSLATE(B182, ""tr"", ""en"" )"),"not to like, to underestimate")</f>
        <v>not to like, to underestimate</v>
      </c>
    </row>
    <row r="183" spans="1:3" ht="14.25" customHeight="1" x14ac:dyDescent="0.3">
      <c r="A183" s="3" t="s">
        <v>363</v>
      </c>
      <c r="B183" s="6" t="s">
        <v>364</v>
      </c>
      <c r="C183" s="5" t="str">
        <f ca="1">IFERROR(__xludf.DUMMYFUNCTION("GOOGLETRANSLATE(B183, ""tr"", ""en"" )"),"Doing a job with little time and effect, being ineffective")</f>
        <v>Doing a job with little time and effect, being ineffective</v>
      </c>
    </row>
    <row r="184" spans="1:3" ht="14.25" customHeight="1" x14ac:dyDescent="0.3">
      <c r="A184" s="3" t="s">
        <v>365</v>
      </c>
      <c r="B184" s="6" t="s">
        <v>366</v>
      </c>
      <c r="C184" s="5" t="str">
        <f ca="1">IFERROR(__xludf.DUMMYFUNCTION("GOOGLETRANSLATE(B184, ""tr"", ""en"" )"),"There is a lot of mischief and gossip")</f>
        <v>There is a lot of mischief and gossip</v>
      </c>
    </row>
    <row r="185" spans="1:3" ht="14.25" customHeight="1" x14ac:dyDescent="0.3">
      <c r="A185" s="3" t="s">
        <v>367</v>
      </c>
      <c r="B185" s="6" t="s">
        <v>368</v>
      </c>
      <c r="C185" s="5" t="str">
        <f ca="1">IFERROR(__xludf.DUMMYFUNCTION("GOOGLETRANSLATE(B185, ""tr"", ""en"" )"),"Selling the bushes, showing off")</f>
        <v>Selling the bushes, showing off</v>
      </c>
    </row>
    <row r="186" spans="1:3" ht="14.25" customHeight="1" x14ac:dyDescent="0.3">
      <c r="A186" s="3" t="s">
        <v>369</v>
      </c>
      <c r="B186" s="6" t="s">
        <v>370</v>
      </c>
      <c r="C186" s="5" t="str">
        <f ca="1">IFERROR(__xludf.DUMMYFUNCTION("GOOGLETRANSLATE(B186, ""tr"", ""en"" )"),"Want a lot, to desire very much")</f>
        <v>Want a lot, to desire very much</v>
      </c>
    </row>
    <row r="187" spans="1:3" ht="14.25" customHeight="1" x14ac:dyDescent="0.3">
      <c r="A187" s="3" t="s">
        <v>371</v>
      </c>
      <c r="B187" s="6" t="s">
        <v>372</v>
      </c>
      <c r="C187" s="5" t="str">
        <f ca="1">IFERROR(__xludf.DUMMYFUNCTION("GOOGLETRANSLATE(B187, ""tr"", ""en"" )"),"The most important point of something is the most important element")</f>
        <v>The most important point of something is the most important element</v>
      </c>
    </row>
    <row r="188" spans="1:3" ht="14.25" customHeight="1" x14ac:dyDescent="0.3">
      <c r="A188" s="3" t="s">
        <v>373</v>
      </c>
      <c r="B188" s="6" t="s">
        <v>374</v>
      </c>
      <c r="C188" s="5" t="str">
        <f ca="1">IFERROR(__xludf.DUMMYFUNCTION("GOOGLETRANSLATE(B188, ""tr"", ""en"" )"),"Attack the most impressive, crucial aspect")</f>
        <v>Attack the most impressive, crucial aspect</v>
      </c>
    </row>
    <row r="189" spans="1:3" ht="14.25" customHeight="1" x14ac:dyDescent="0.3">
      <c r="A189" s="3" t="s">
        <v>375</v>
      </c>
      <c r="B189" s="6" t="s">
        <v>376</v>
      </c>
      <c r="C189" s="5" t="str">
        <f ca="1">IFERROR(__xludf.DUMMYFUNCTION("GOOGLETRANSLATE(B189, ""tr"", ""en"" )"),"Listening with great care by giving yourself")</f>
        <v>Listening with great care by giving yourself</v>
      </c>
    </row>
    <row r="190" spans="1:3" ht="14.25" customHeight="1" x14ac:dyDescent="0.3">
      <c r="A190" s="3" t="s">
        <v>377</v>
      </c>
      <c r="B190" s="6" t="s">
        <v>378</v>
      </c>
      <c r="C190" s="5" t="str">
        <f ca="1">IFERROR(__xludf.DUMMYFUNCTION("GOOGLETRANSLATE(B190, ""tr"", ""en"" )"),"A dangerous situation where everyone is worried about their own life and tries to save their own lives")</f>
        <v>A dangerous situation where everyone is worried about their own life and tries to save their own lives</v>
      </c>
    </row>
    <row r="191" spans="1:3" ht="14.25" customHeight="1" x14ac:dyDescent="0.3">
      <c r="A191" s="3" t="s">
        <v>379</v>
      </c>
      <c r="B191" s="6" t="s">
        <v>380</v>
      </c>
      <c r="C191" s="5" t="str">
        <f ca="1">IFERROR(__xludf.DUMMYFUNCTION("GOOGLETRANSLATE(B191, ""tr"", ""en"" )"),"To increase the joy of living in human beings; Giving people joy, enthusiasm and internal strength")</f>
        <v>To increase the joy of living in human beings; Giving people joy, enthusiasm and internal strength</v>
      </c>
    </row>
    <row r="192" spans="1:3" ht="14.25" customHeight="1" x14ac:dyDescent="0.3">
      <c r="A192" s="3" t="s">
        <v>381</v>
      </c>
      <c r="B192" s="6" t="s">
        <v>382</v>
      </c>
      <c r="C192" s="5" t="str">
        <f ca="1">IFERROR(__xludf.DUMMYFUNCTION("GOOGLETRANSLATE(B192, ""tr"", ""en"" )"),"To get exhausted")</f>
        <v>To get exhausted</v>
      </c>
    </row>
    <row r="193" spans="1:3" ht="14.25" customHeight="1" x14ac:dyDescent="0.3">
      <c r="A193" s="3" t="s">
        <v>383</v>
      </c>
      <c r="B193" s="6" t="s">
        <v>384</v>
      </c>
      <c r="C193" s="5" t="str">
        <f ca="1">IFERROR(__xludf.DUMMYFUNCTION("GOOGLETRANSLATE(B193, ""tr"", ""en"" )"),"To give a great harm to a person, to evil")</f>
        <v>To give a great harm to a person, to evil</v>
      </c>
    </row>
    <row r="194" spans="1:3" ht="14.25" customHeight="1" x14ac:dyDescent="0.3">
      <c r="A194" s="3" t="s">
        <v>385</v>
      </c>
      <c r="B194" s="6" t="s">
        <v>386</v>
      </c>
      <c r="C194" s="5" t="str">
        <f ca="1">IFERROR(__xludf.DUMMYFUNCTION("GOOGLETRANSLATE(B194, ""tr"", ""en"" )"),"No patience, to be able to withstand a problem")</f>
        <v>No patience, to be able to withstand a problem</v>
      </c>
    </row>
    <row r="195" spans="1:3" ht="14.25" customHeight="1" x14ac:dyDescent="0.3">
      <c r="A195" s="3" t="s">
        <v>387</v>
      </c>
      <c r="B195" s="6" t="s">
        <v>388</v>
      </c>
      <c r="C195" s="5" t="str">
        <f ca="1">IFERROR(__xludf.DUMMYFUNCTION("GOOGLETRANSLATE(B195, ""tr"", ""en"" )"),"Trying to achieve a job by taking into consideration great troubles and dangers")</f>
        <v>Trying to achieve a job by taking into consideration great troubles and dangers</v>
      </c>
    </row>
    <row r="196" spans="1:3" ht="14.25" customHeight="1" x14ac:dyDescent="0.3">
      <c r="A196" s="3" t="s">
        <v>389</v>
      </c>
      <c r="B196" s="6" t="s">
        <v>390</v>
      </c>
      <c r="C196" s="5" t="str">
        <f ca="1">IFERROR(__xludf.DUMMYFUNCTION("GOOGLETRANSLATE(B196, ""tr"", ""en"" )"),"Uncomfortable with pain, sadness and distress")</f>
        <v>Uncomfortable with pain, sadness and distress</v>
      </c>
    </row>
    <row r="197" spans="1:3" ht="14.25" customHeight="1" x14ac:dyDescent="0.3">
      <c r="A197" s="3" t="s">
        <v>391</v>
      </c>
      <c r="B197" s="6" t="s">
        <v>392</v>
      </c>
      <c r="C197" s="5" t="str">
        <f ca="1">IFERROR(__xludf.DUMMYFUNCTION("GOOGLETRANSLATE(B197, ""tr"", ""en"" )"),"Impatient, not tolerate to wait")</f>
        <v>Impatient, not tolerate to wait</v>
      </c>
    </row>
    <row r="198" spans="1:3" ht="14.25" customHeight="1" x14ac:dyDescent="0.3">
      <c r="A198" s="3" t="s">
        <v>393</v>
      </c>
      <c r="B198" s="6" t="s">
        <v>394</v>
      </c>
      <c r="C198" s="5" t="str">
        <f ca="1">IFERROR(__xludf.DUMMYFUNCTION("GOOGLETRANSLATE(B198, ""tr"", ""en"" )"),"Free, does not know how to hold money in his pocket")</f>
        <v>Free, does not know how to hold money in his pocket</v>
      </c>
    </row>
    <row r="199" spans="1:3" ht="14.25" customHeight="1" x14ac:dyDescent="0.3">
      <c r="A199" s="3" t="s">
        <v>395</v>
      </c>
      <c r="B199" s="6" t="s">
        <v>396</v>
      </c>
      <c r="C199" s="5" t="str">
        <f ca="1">IFERROR(__xludf.DUMMYFUNCTION("GOOGLETRANSLATE(B199, ""tr"", ""en"" )"),"Worthless, unreliable, cowardly, inferiority")</f>
        <v>Worthless, unreliable, cowardly, inferiority</v>
      </c>
    </row>
    <row r="200" spans="1:3" ht="14.25" customHeight="1" x14ac:dyDescent="0.3">
      <c r="A200" s="3" t="s">
        <v>397</v>
      </c>
      <c r="B200" s="6" t="s">
        <v>398</v>
      </c>
      <c r="C200" s="5" t="str">
        <f ca="1">IFERROR(__xludf.DUMMYFUNCTION("GOOGLETRANSLATE(B200, ""tr"", ""en"" )"),"I love very much")</f>
        <v>I love very much</v>
      </c>
    </row>
    <row r="201" spans="1:3" ht="14.25" customHeight="1" x14ac:dyDescent="0.3">
      <c r="A201" s="3" t="s">
        <v>399</v>
      </c>
      <c r="B201" s="6" t="s">
        <v>400</v>
      </c>
      <c r="C201" s="5" t="str">
        <f ca="1">IFERROR(__xludf.DUMMYFUNCTION("GOOGLETRANSLATE(B201, ""tr"", ""en"" )"),"Knowing the hidden thoughts of the other person, understanding what you think")</f>
        <v>Knowing the hidden thoughts of the other person, understanding what you think</v>
      </c>
    </row>
    <row r="202" spans="1:3" ht="14.25" customHeight="1" x14ac:dyDescent="0.3">
      <c r="A202" s="3" t="s">
        <v>401</v>
      </c>
      <c r="B202" s="6" t="s">
        <v>402</v>
      </c>
      <c r="C202" s="5" t="str">
        <f ca="1">IFERROR(__xludf.DUMMYFUNCTION("GOOGLETRANSLATE(B202, ""tr"", ""en"" )"),"Intelligent, very cunning, always watching his own interests, very understanding")</f>
        <v>Intelligent, very cunning, always watching his own interests, very understanding</v>
      </c>
    </row>
    <row r="203" spans="1:3" ht="14.25" customHeight="1" x14ac:dyDescent="0.3">
      <c r="A203" s="3" t="s">
        <v>403</v>
      </c>
      <c r="B203" s="6" t="s">
        <v>404</v>
      </c>
      <c r="C203" s="5" t="str">
        <f ca="1">IFERROR(__xludf.DUMMYFUNCTION("GOOGLETRANSLATE(B203, ""tr"", ""en"" )"),"Collectively, always")</f>
        <v>Collectively, always</v>
      </c>
    </row>
    <row r="204" spans="1:3" ht="14.25" customHeight="1" x14ac:dyDescent="0.3">
      <c r="A204" s="3" t="s">
        <v>405</v>
      </c>
      <c r="B204" s="6" t="s">
        <v>406</v>
      </c>
      <c r="C204" s="5" t="str">
        <f ca="1">IFERROR(__xludf.DUMMYFUNCTION("GOOGLETRANSLATE(B204, ""tr"", ""en"" )"),"Live and Atik, agile")</f>
        <v>Live and Atik, agile</v>
      </c>
    </row>
    <row r="205" spans="1:3" ht="14.25" customHeight="1" x14ac:dyDescent="0.3">
      <c r="A205" s="3" t="s">
        <v>407</v>
      </c>
      <c r="B205" s="6" t="s">
        <v>408</v>
      </c>
      <c r="C205" s="5" t="str">
        <f ca="1">IFERROR(__xludf.DUMMYFUNCTION("GOOGLETRANSLATE(B205, ""tr"", ""en"" )"),"Saying a word that will break the other person or lead to a bad conclusion, to behave")</f>
        <v>Saying a word that will break the other person or lead to a bad conclusion, to behave</v>
      </c>
    </row>
    <row r="206" spans="1:3" ht="14.25" customHeight="1" x14ac:dyDescent="0.3">
      <c r="A206" s="3" t="s">
        <v>409</v>
      </c>
      <c r="B206" s="6" t="s">
        <v>410</v>
      </c>
      <c r="C206" s="5" t="str">
        <f ca="1">IFERROR(__xludf.DUMMYFUNCTION("GOOGLETRANSLATE(B206, ""tr"", ""en"" )"),"To fight with words and behaviors, fighting, turmoil")</f>
        <v>To fight with words and behaviors, fighting, turmoil</v>
      </c>
    </row>
    <row r="207" spans="1:3" ht="14.25" customHeight="1" x14ac:dyDescent="0.3">
      <c r="A207" s="3" t="s">
        <v>411</v>
      </c>
      <c r="B207" s="6" t="s">
        <v>412</v>
      </c>
      <c r="C207" s="5" t="str">
        <f ca="1">IFERROR(__xludf.DUMMYFUNCTION("GOOGLETRANSLATE(B207, ""tr"", ""en"" )"),"It is so certain that it is deemed to have been obtained.")</f>
        <v>It is so certain that it is deemed to have been obtained.</v>
      </c>
    </row>
    <row r="208" spans="1:3" ht="14.25" customHeight="1" x14ac:dyDescent="0.3">
      <c r="A208" s="3" t="s">
        <v>413</v>
      </c>
      <c r="B208" s="3" t="s">
        <v>414</v>
      </c>
      <c r="C208" s="5" t="str">
        <f ca="1">IFERROR(__xludf.DUMMYFUNCTION("GOOGLETRANSLATE(B208, ""tr"", ""en"" )"),"To spend and consume unnecessary, unnecessary")</f>
        <v>To spend and consume unnecessary, unnecessary</v>
      </c>
    </row>
    <row r="209" spans="1:3" ht="14.25" customHeight="1" x14ac:dyDescent="0.3">
      <c r="A209" s="3" t="s">
        <v>415</v>
      </c>
      <c r="B209" s="6" t="s">
        <v>416</v>
      </c>
      <c r="C209" s="5" t="str">
        <f ca="1">IFERROR(__xludf.DUMMYFUNCTION("GOOGLETRANSLATE(B209, ""tr"", ""en"" )"),"Waveless, straight and stagnant")</f>
        <v>Waveless, straight and stagnant</v>
      </c>
    </row>
    <row r="210" spans="1:3" ht="14.25" customHeight="1" x14ac:dyDescent="0.3">
      <c r="A210" s="3" t="s">
        <v>417</v>
      </c>
      <c r="B210" s="6" t="s">
        <v>418</v>
      </c>
      <c r="C210" s="5" t="str">
        <f ca="1">IFERROR(__xludf.DUMMYFUNCTION("GOOGLETRANSLATE(B210, ""tr"", ""en"" )"),"Suddenly, unexpectedly")</f>
        <v>Suddenly, unexpectedly</v>
      </c>
    </row>
    <row r="211" spans="1:3" ht="14.25" customHeight="1" x14ac:dyDescent="0.3">
      <c r="A211" s="3" t="s">
        <v>419</v>
      </c>
      <c r="B211" s="6" t="s">
        <v>420</v>
      </c>
      <c r="C211" s="5" t="str">
        <f ca="1">IFERROR(__xludf.DUMMYFUNCTION("GOOGLETRANSLATE(B211, ""tr"", ""en"" )"),"Managing, putting in order, putting on the road, ensuring that it works")</f>
        <v>Managing, putting in order, putting on the road, ensuring that it works</v>
      </c>
    </row>
    <row r="212" spans="1:3" ht="14.25" customHeight="1" x14ac:dyDescent="0.3">
      <c r="A212" s="3" t="s">
        <v>421</v>
      </c>
      <c r="B212" s="6" t="s">
        <v>422</v>
      </c>
      <c r="C212" s="5" t="str">
        <f ca="1">IFERROR(__xludf.DUMMYFUNCTION("GOOGLETRANSLATE(B212, ""tr"", ""en"" )"),"Spending time by chatting, talking a lot")</f>
        <v>Spending time by chatting, talking a lot</v>
      </c>
    </row>
    <row r="213" spans="1:3" ht="14.25" customHeight="1" x14ac:dyDescent="0.3">
      <c r="A213" s="3" t="s">
        <v>423</v>
      </c>
      <c r="B213" s="6" t="s">
        <v>424</v>
      </c>
      <c r="C213" s="5" t="str">
        <f ca="1">IFERROR(__xludf.DUMMYFUNCTION("GOOGLETRANSLATE(B213, ""tr"", ""en"" )"),"Mutual chattering, talking empty")</f>
        <v>Mutual chattering, talking empty</v>
      </c>
    </row>
    <row r="214" spans="1:3" ht="14.25" customHeight="1" x14ac:dyDescent="0.3">
      <c r="A214" s="3" t="s">
        <v>425</v>
      </c>
      <c r="B214" s="6" t="s">
        <v>426</v>
      </c>
      <c r="C214" s="5" t="str">
        <f ca="1">IFERROR(__xludf.DUMMYFUNCTION("GOOGLETRANSLATE(B214, ""tr"", ""en"" )"),"Bringing on the road, difficult to defeat opponents")</f>
        <v>Bringing on the road, difficult to defeat opponents</v>
      </c>
    </row>
    <row r="215" spans="1:3" ht="14.25" customHeight="1" x14ac:dyDescent="0.3">
      <c r="A215" s="3" t="s">
        <v>427</v>
      </c>
      <c r="B215" s="6" t="s">
        <v>428</v>
      </c>
      <c r="C215" s="5" t="str">
        <f ca="1">IFERROR(__xludf.DUMMYFUNCTION("GOOGLETRANSLATE(B215, ""tr"", ""en"" )"),"To deviate from the road, to leave the right and appropriate departure, can no longer be improved")</f>
        <v>To deviate from the road, to leave the right and appropriate departure, can no longer be improved</v>
      </c>
    </row>
    <row r="216" spans="1:3" ht="14.25" customHeight="1" x14ac:dyDescent="0.3">
      <c r="A216" s="3" t="s">
        <v>429</v>
      </c>
      <c r="B216" s="6" t="s">
        <v>430</v>
      </c>
      <c r="C216" s="5" t="str">
        <f ca="1">IFERROR(__xludf.DUMMYFUNCTION("GOOGLETRANSLATE(B216, ""tr"", ""en"" )"),"Noise fuss, confusion and fighting")</f>
        <v>Noise fuss, confusion and fighting</v>
      </c>
    </row>
    <row r="217" spans="1:3" ht="14.25" customHeight="1" x14ac:dyDescent="0.3">
      <c r="A217" s="3" t="s">
        <v>431</v>
      </c>
      <c r="B217" s="6" t="s">
        <v>432</v>
      </c>
      <c r="C217" s="5" t="str">
        <f ca="1">IFERROR(__xludf.DUMMYFUNCTION("GOOGLETRANSLATE(B217, ""tr"", ""en"" )"),"Being very quiet, not making no sound, not making noise")</f>
        <v>Being very quiet, not making no sound, not making noise</v>
      </c>
    </row>
    <row r="218" spans="1:3" ht="14.25" customHeight="1" x14ac:dyDescent="0.3">
      <c r="A218" s="3" t="s">
        <v>433</v>
      </c>
      <c r="B218" s="6" t="s">
        <v>434</v>
      </c>
      <c r="C218" s="5" t="str">
        <f ca="1">IFERROR(__xludf.DUMMYFUNCTION("GOOGLETRANSLATE(B218, ""tr"", ""en"" )"),"Very fresh, novice")</f>
        <v>Very fresh, novice</v>
      </c>
    </row>
    <row r="219" spans="1:3" ht="14.25" customHeight="1" x14ac:dyDescent="0.3">
      <c r="A219" s="3" t="s">
        <v>435</v>
      </c>
      <c r="B219" s="6" t="s">
        <v>436</v>
      </c>
      <c r="C219" s="5" t="str">
        <f ca="1">IFERROR(__xludf.DUMMYFUNCTION("GOOGLETRANSLATE(B219, ""tr"", ""en"" )"),"To be very angry, to show out of exuberance")</f>
        <v>To be very angry, to show out of exuberance</v>
      </c>
    </row>
    <row r="220" spans="1:3" ht="14.25" customHeight="1" x14ac:dyDescent="0.3">
      <c r="A220" s="3" t="s">
        <v>437</v>
      </c>
      <c r="B220" s="6" t="s">
        <v>438</v>
      </c>
      <c r="C220" s="5" t="str">
        <f ca="1">IFERROR(__xludf.DUMMYFUNCTION("GOOGLETRANSLATE(B220, ""tr"", ""en"" )"),"Easily handling of other parts of a starting job")</f>
        <v>Easily handling of other parts of a starting job</v>
      </c>
    </row>
    <row r="221" spans="1:3" ht="14.25" customHeight="1" x14ac:dyDescent="0.3">
      <c r="A221" s="3" t="s">
        <v>439</v>
      </c>
      <c r="B221" s="6" t="s">
        <v>440</v>
      </c>
      <c r="C221" s="5" t="str">
        <f ca="1">IFERROR(__xludf.DUMMYFUNCTION("GOOGLETRANSLATE(B221, ""tr"", ""en"" )"),"To have a little effort and labor in a job or service")</f>
        <v>To have a little effort and labor in a job or service</v>
      </c>
    </row>
    <row r="222" spans="1:3" ht="14.25" customHeight="1" x14ac:dyDescent="0.3">
      <c r="A222" s="3" t="s">
        <v>441</v>
      </c>
      <c r="B222" s="6" t="s">
        <v>442</v>
      </c>
      <c r="C222" s="5" t="str">
        <f ca="1">IFERROR(__xludf.DUMMYFUNCTION("GOOGLETRANSLATE(B222, ""tr"", ""en"" )"),"Moving without impulsive and starting a job that will result in badly")</f>
        <v>Moving without impulsive and starting a job that will result in badly</v>
      </c>
    </row>
    <row r="223" spans="1:3" ht="14.25" customHeight="1" x14ac:dyDescent="0.3">
      <c r="A223" s="3" t="s">
        <v>443</v>
      </c>
      <c r="B223" s="6" t="s">
        <v>444</v>
      </c>
      <c r="C223" s="5" t="str">
        <f ca="1">IFERROR(__xludf.DUMMYFUNCTION("GOOGLETRANSLATE(B223, ""tr"", ""en"" )"),"Successing the jobs that look very hard")</f>
        <v>Successing the jobs that look very hard</v>
      </c>
    </row>
    <row r="224" spans="1:3" ht="14.25" customHeight="1" x14ac:dyDescent="0.3">
      <c r="A224" s="3" t="s">
        <v>445</v>
      </c>
      <c r="B224" s="6" t="s">
        <v>446</v>
      </c>
      <c r="C224" s="5" t="str">
        <f ca="1">IFERROR(__xludf.DUMMYFUNCTION("GOOGLETRANSLATE(B224, ""tr"", ""en"" )"),"Trying to replace a person who has been in a past or in a job that he was involved in")</f>
        <v>Trying to replace a person who has been in a past or in a job that he was involved in</v>
      </c>
    </row>
    <row r="225" spans="1:3" ht="14.25" customHeight="1" x14ac:dyDescent="0.3">
      <c r="A225" s="3" t="s">
        <v>447</v>
      </c>
      <c r="B225" s="6" t="s">
        <v>448</v>
      </c>
      <c r="C225" s="5" t="str">
        <f ca="1">IFERROR(__xludf.DUMMYFUNCTION("GOOGLETRANSLATE(B225, ""tr"", ""en"" )"),"Doing a bad job with a lie, filled and cheating")</f>
        <v>Doing a bad job with a lie, filled and cheating</v>
      </c>
    </row>
    <row r="226" spans="1:3" ht="14.25" customHeight="1" x14ac:dyDescent="0.3">
      <c r="A226" s="3" t="s">
        <v>449</v>
      </c>
      <c r="B226" s="6" t="s">
        <v>450</v>
      </c>
      <c r="C226" s="5" t="str">
        <f ca="1">IFERROR(__xludf.DUMMYFUNCTION("GOOGLETRANSLATE(B226, ""tr"", ""en"" )"),"Very often, changing thoughts or subjects")</f>
        <v>Very often, changing thoughts or subjects</v>
      </c>
    </row>
    <row r="227" spans="1:3" ht="14.25" customHeight="1" x14ac:dyDescent="0.3">
      <c r="A227" s="3" t="s">
        <v>451</v>
      </c>
      <c r="B227" s="6" t="s">
        <v>452</v>
      </c>
      <c r="C227" s="5" t="str">
        <f ca="1">IFERROR(__xludf.DUMMYFUNCTION("GOOGLETRANSLATE(B227, ""tr"", ""en"" )"),"To angry someone by doing things he doesn't like")</f>
        <v>To angry someone by doing things he doesn't like</v>
      </c>
    </row>
    <row r="228" spans="1:3" ht="14.25" customHeight="1" x14ac:dyDescent="0.3">
      <c r="A228" s="3" t="s">
        <v>453</v>
      </c>
      <c r="B228" s="6" t="s">
        <v>454</v>
      </c>
      <c r="C228" s="5" t="str">
        <f ca="1">IFERROR(__xludf.DUMMYFUNCTION("GOOGLETRANSLATE(B228, ""tr"", ""en"" )"),"Expanding and spreading, getting a mixed situation by growing increasingly")</f>
        <v>Expanding and spreading, getting a mixed situation by growing increasingly</v>
      </c>
    </row>
    <row r="229" spans="1:3" ht="14.25" customHeight="1" x14ac:dyDescent="0.3">
      <c r="A229" s="3" t="s">
        <v>455</v>
      </c>
      <c r="B229" s="3" t="s">
        <v>456</v>
      </c>
      <c r="C229" s="5" t="str">
        <f ca="1">IFERROR(__xludf.DUMMYFUNCTION("GOOGLETRANSLATE(B229, ""tr"", ""en"" )"),"Suddenly, unwarranted")</f>
        <v>Suddenly, unwarranted</v>
      </c>
    </row>
    <row r="230" spans="1:3" ht="14.25" customHeight="1" x14ac:dyDescent="0.3">
      <c r="A230" s="3" t="s">
        <v>457</v>
      </c>
      <c r="B230" s="6" t="s">
        <v>458</v>
      </c>
      <c r="C230" s="5" t="str">
        <f ca="1">IFERROR(__xludf.DUMMYFUNCTION("GOOGLETRANSLATE(B230, ""tr"", ""en"" )"),"The event erupted, the expected and feared result")</f>
        <v>The event erupted, the expected and feared result</v>
      </c>
    </row>
    <row r="231" spans="1:3" ht="14.25" customHeight="1" x14ac:dyDescent="0.3">
      <c r="A231" s="3" t="s">
        <v>459</v>
      </c>
      <c r="B231" s="7" t="s">
        <v>460</v>
      </c>
      <c r="C231" s="5" t="str">
        <f ca="1">IFERROR(__xludf.DUMMYFUNCTION("GOOGLETRANSLATE(B231, ""tr"", ""en"" )"),"Be in trouble")</f>
        <v>Be in trouble</v>
      </c>
    </row>
    <row r="232" spans="1:3" ht="14.25" customHeight="1" x14ac:dyDescent="0.3">
      <c r="A232" s="3" t="s">
        <v>461</v>
      </c>
      <c r="B232" s="3" t="s">
        <v>462</v>
      </c>
      <c r="C232" s="5" t="str">
        <f ca="1">IFERROR(__xludf.DUMMYFUNCTION("GOOGLETRANSLATE(B232, ""tr"", ""en"" )"),"The situation spent in troubles and difficulties, which is accepted temporary and finally relieved")</f>
        <v>The situation spent in troubles and difficulties, which is accepted temporary and finally relieved</v>
      </c>
    </row>
    <row r="233" spans="1:3" ht="14.25" customHeight="1" x14ac:dyDescent="0.3">
      <c r="A233" s="3" t="s">
        <v>463</v>
      </c>
      <c r="B233" s="3" t="s">
        <v>463</v>
      </c>
      <c r="C233" s="5" t="str">
        <f ca="1">IFERROR(__xludf.DUMMYFUNCTION("GOOGLETRANSLATE(B233, ""tr"", ""en"" )"),"Be tight")</f>
        <v>Be tight</v>
      </c>
    </row>
    <row r="234" spans="1:3" ht="14.25" customHeight="1" x14ac:dyDescent="0.3">
      <c r="A234" s="3" t="s">
        <v>464</v>
      </c>
      <c r="B234" s="3" t="s">
        <v>465</v>
      </c>
      <c r="C234" s="5" t="str">
        <f ca="1">IFERROR(__xludf.DUMMYFUNCTION("GOOGLETRANSLATE(B234, ""tr"", ""en"" )"),"nlil, less comprehension; not open to innovations")</f>
        <v>nlil, less comprehension; not open to innovations</v>
      </c>
    </row>
    <row r="235" spans="1:3" ht="14.25" customHeight="1" x14ac:dyDescent="0.3">
      <c r="A235" s="3" t="s">
        <v>466</v>
      </c>
      <c r="B235" s="6" t="s">
        <v>467</v>
      </c>
      <c r="C235" s="5" t="str">
        <f ca="1">IFERROR(__xludf.DUMMYFUNCTION("GOOGLETRANSLATE(B235, ""tr"", ""en"" )"),"Interrupting the relationship, ignoring, being not remembered, forgetting")</f>
        <v>Interrupting the relationship, ignoring, being not remembered, forgetting</v>
      </c>
    </row>
    <row r="236" spans="1:3" ht="14.25" customHeight="1" x14ac:dyDescent="0.3">
      <c r="A236" s="3" t="s">
        <v>468</v>
      </c>
      <c r="B236" s="3" t="s">
        <v>469</v>
      </c>
      <c r="C236" s="5" t="str">
        <f ca="1">IFERROR(__xludf.DUMMYFUNCTION("GOOGLETRANSLATE(B236, ""tr"", ""en"" )"),"Being out of a place by ending his job")</f>
        <v>Being out of a place by ending his job</v>
      </c>
    </row>
    <row r="237" spans="1:3" ht="14.25" customHeight="1" x14ac:dyDescent="0.3">
      <c r="A237" s="3" t="s">
        <v>470</v>
      </c>
      <c r="B237" s="3" t="s">
        <v>471</v>
      </c>
      <c r="C237" s="5" t="str">
        <f ca="1">IFERROR(__xludf.DUMMYFUNCTION("GOOGLETRANSLATE(B237, ""tr"", ""en"" )"),"To be interested, to be not to deal, to do the job in question")</f>
        <v>To be interested, to be not to deal, to do the job in question</v>
      </c>
    </row>
    <row r="238" spans="1:3" ht="14.25" customHeight="1" x14ac:dyDescent="0.3">
      <c r="A238" s="3" t="s">
        <v>472</v>
      </c>
      <c r="B238" s="3" t="s">
        <v>473</v>
      </c>
      <c r="C238" s="5" t="str">
        <f ca="1">IFERROR(__xludf.DUMMYFUNCTION("GOOGLETRANSLATE(B238, ""tr"", ""en"" )"),"Attack, crazy, crazy work, spoiled")</f>
        <v>Attack, crazy, crazy work, spoiled</v>
      </c>
    </row>
    <row r="239" spans="1:3" ht="14.25" customHeight="1" x14ac:dyDescent="0.3">
      <c r="A239" s="3" t="s">
        <v>474</v>
      </c>
      <c r="B239" s="3" t="s">
        <v>475</v>
      </c>
      <c r="C239" s="5" t="str">
        <f ca="1">IFERROR(__xludf.DUMMYFUNCTION("GOOGLETRANSLATE(B239, ""tr"", ""en"" )"),"Sleeping for a long time without waking up, for a long time")</f>
        <v>Sleeping for a long time without waking up, for a long time</v>
      </c>
    </row>
    <row r="240" spans="1:3" ht="14.25" customHeight="1" x14ac:dyDescent="0.3">
      <c r="A240" s="3" t="s">
        <v>476</v>
      </c>
      <c r="B240" s="3" t="s">
        <v>477</v>
      </c>
      <c r="C240" s="5" t="str">
        <f ca="1">IFERROR(__xludf.DUMMYFUNCTION("GOOGLETRANSLATE(B240, ""tr"", ""en"" )"),"Stay somewhere for a long time")</f>
        <v>Stay somewhere for a long time</v>
      </c>
    </row>
    <row r="241" spans="1:3" ht="14.25" customHeight="1" x14ac:dyDescent="0.3">
      <c r="A241" s="3" t="s">
        <v>478</v>
      </c>
      <c r="B241" s="3" t="s">
        <v>479</v>
      </c>
      <c r="C241" s="5" t="str">
        <f ca="1">IFERROR(__xludf.DUMMYFUNCTION("GOOGLETRANSLATE(B241, ""tr"", ""en"" )"),"To get used to a new job, environment, situation")</f>
        <v>To get used to a new job, environment, situation</v>
      </c>
    </row>
    <row r="242" spans="1:3" ht="14.25" customHeight="1" x14ac:dyDescent="0.3">
      <c r="A242" s="3" t="s">
        <v>480</v>
      </c>
      <c r="B242" s="6" t="s">
        <v>481</v>
      </c>
      <c r="C242" s="5" t="str">
        <f ca="1">IFERROR(__xludf.DUMMYFUNCTION("GOOGLETRANSLATE(B242, ""tr"", ""en"" )"),"It's hard to do to someone, trying to do a job that he can't do almost")</f>
        <v>It's hard to do to someone, trying to do a job that he can't do almost</v>
      </c>
    </row>
    <row r="243" spans="1:3" ht="14.25" customHeight="1" x14ac:dyDescent="0.3">
      <c r="A243" s="3" t="s">
        <v>482</v>
      </c>
      <c r="B243" s="6" t="s">
        <v>483</v>
      </c>
      <c r="C243" s="5" t="str">
        <f ca="1">IFERROR(__xludf.DUMMYFUNCTION("GOOGLETRANSLATE(B243, ""tr"", ""en"" )"),"Unmissible, good luck; fortune that brings wealth, happiness")</f>
        <v>Unmissible, good luck; fortune that brings wealth, happiness</v>
      </c>
    </row>
    <row r="244" spans="1:3" ht="14.25" customHeight="1" x14ac:dyDescent="0.3">
      <c r="A244" s="3" t="s">
        <v>484</v>
      </c>
      <c r="B244" s="6" t="s">
        <v>485</v>
      </c>
      <c r="C244" s="5" t="str">
        <f ca="1">IFERROR(__xludf.DUMMYFUNCTION("GOOGLETRANSLATE(B244, ""tr"", ""en"" )"),"The external appearance is beautiful enough to envy everyone, but the insightless, bad, the owner is sad")</f>
        <v>The external appearance is beautiful enough to envy everyone, but the insightless, bad, the owner is sad</v>
      </c>
    </row>
    <row r="245" spans="1:3" ht="14.25" customHeight="1" x14ac:dyDescent="0.3">
      <c r="A245" s="3" t="s">
        <v>486</v>
      </c>
      <c r="B245" s="3" t="s">
        <v>487</v>
      </c>
      <c r="C245" s="5" t="str">
        <f ca="1">IFERROR(__xludf.DUMMYFUNCTION("GOOGLETRANSLATE(B245, ""tr"", ""en"" )"),"To be uneasy in a place, to indicate the situation to get up at any moment, to be restless")</f>
        <v>To be uneasy in a place, to indicate the situation to get up at any moment, to be restless</v>
      </c>
    </row>
    <row r="246" spans="1:3" ht="14.25" customHeight="1" x14ac:dyDescent="0.3">
      <c r="A246" s="3" t="s">
        <v>488</v>
      </c>
      <c r="B246" s="3" t="s">
        <v>489</v>
      </c>
      <c r="C246" s="5" t="str">
        <f ca="1">IFERROR(__xludf.DUMMYFUNCTION("GOOGLETRANSLATE(B246, ""tr"", ""en"" )"),"Somewhere, in a job for a reason for a long time to be left for a long time")</f>
        <v>Somewhere, in a job for a reason for a long time to be left for a long time</v>
      </c>
    </row>
    <row r="247" spans="1:3" ht="14.25" customHeight="1" x14ac:dyDescent="0.3">
      <c r="A247" s="3" t="s">
        <v>490</v>
      </c>
      <c r="B247" s="6" t="s">
        <v>491</v>
      </c>
      <c r="C247" s="5" t="str">
        <f ca="1">IFERROR(__xludf.DUMMYFUNCTION("GOOGLETRANSLATE(B247, ""tr"", ""en"" )"),"Say sweet words to deceive, convince or benefit")</f>
        <v>Say sweet words to deceive, convince or benefit</v>
      </c>
    </row>
    <row r="248" spans="1:3" ht="14.25" customHeight="1" x14ac:dyDescent="0.3">
      <c r="A248" s="3" t="s">
        <v>492</v>
      </c>
      <c r="B248" s="6" t="s">
        <v>493</v>
      </c>
      <c r="C248" s="5" t="str">
        <f ca="1">IFERROR(__xludf.DUMMYFUNCTION("GOOGLETRANSLATE(B248, ""tr"", ""en"" )"),"Saying bad words for a person or something")</f>
        <v>Saying bad words for a person or something</v>
      </c>
    </row>
    <row r="249" spans="1:3" ht="14.25" customHeight="1" x14ac:dyDescent="0.3">
      <c r="A249" s="3" t="s">
        <v>494</v>
      </c>
      <c r="B249" s="6" t="s">
        <v>495</v>
      </c>
      <c r="C249" s="5" t="str">
        <f ca="1">IFERROR(__xludf.DUMMYFUNCTION("GOOGLETRANSLATE(B249, ""tr"", ""en"" )"),"Gossip about")</f>
        <v>Gossip about</v>
      </c>
    </row>
    <row r="250" spans="1:3" ht="14.25" customHeight="1" x14ac:dyDescent="0.3">
      <c r="A250" s="3" t="s">
        <v>496</v>
      </c>
      <c r="B250" s="3" t="s">
        <v>497</v>
      </c>
      <c r="C250" s="5" t="str">
        <f ca="1">IFERROR(__xludf.DUMMYFUNCTION("GOOGLETRANSLATE(B250, ""tr"", ""en"" )"),"It is easy to say, but it is very difficult to reveal or endure")</f>
        <v>It is easy to say, but it is very difficult to reveal or endure</v>
      </c>
    </row>
    <row r="251" spans="1:3" ht="14.25" customHeight="1" x14ac:dyDescent="0.3">
      <c r="A251" s="3" t="s">
        <v>498</v>
      </c>
      <c r="B251" s="6" t="s">
        <v>499</v>
      </c>
      <c r="C251" s="5" t="str">
        <f ca="1">IFERROR(__xludf.DUMMYFUNCTION("GOOGLETRANSLATE(B251, ""tr"", ""en"" )"),"To be able to say for any reason")</f>
        <v>To be able to say for any reason</v>
      </c>
    </row>
    <row r="252" spans="1:3" ht="14.25" customHeight="1" x14ac:dyDescent="0.3">
      <c r="A252" s="3" t="s">
        <v>500</v>
      </c>
      <c r="B252" s="6" t="s">
        <v>501</v>
      </c>
      <c r="C252" s="5" t="str">
        <f ca="1">IFERROR(__xludf.DUMMYFUNCTION("GOOGLETRANSLATE(B252, ""tr"", ""en"" )"),"Disrespectful")</f>
        <v>Disrespectful</v>
      </c>
    </row>
    <row r="253" spans="1:3" ht="14.25" customHeight="1" x14ac:dyDescent="0.3">
      <c r="A253" s="3" t="s">
        <v>502</v>
      </c>
      <c r="B253" s="3" t="s">
        <v>503</v>
      </c>
      <c r="C253" s="5" t="str">
        <f ca="1">IFERROR(__xludf.DUMMYFUNCTION("GOOGLETRANSLATE(B253, ""tr"", ""en"" )"),"Not to be willing to say a word")</f>
        <v>Not to be willing to say a word</v>
      </c>
    </row>
    <row r="254" spans="1:3" ht="14.25" customHeight="1" x14ac:dyDescent="0.3">
      <c r="A254" s="3" t="s">
        <v>504</v>
      </c>
      <c r="B254" s="3" t="s">
        <v>505</v>
      </c>
      <c r="C254" s="5" t="str">
        <f ca="1">IFERROR(__xludf.DUMMYFUNCTION("GOOGLETRANSLATE(B254, ""tr"", ""en"" )"),"Because of a misdemeanor, a person's reproach, criticism and taunting")</f>
        <v>Because of a misdemeanor, a person's reproach, criticism and taunting</v>
      </c>
    </row>
    <row r="255" spans="1:3" ht="14.25" customHeight="1" x14ac:dyDescent="0.3">
      <c r="A255" s="3" t="s">
        <v>506</v>
      </c>
      <c r="B255" s="3" t="s">
        <v>507</v>
      </c>
      <c r="C255" s="5" t="str">
        <f ca="1">IFERROR(__xludf.DUMMYFUNCTION("GOOGLETRANSLATE(B255, ""tr"", ""en"" )"),"Tired of singing often, getting tired")</f>
        <v>Tired of singing often, getting tired</v>
      </c>
    </row>
    <row r="256" spans="1:3" ht="14.25" customHeight="1" x14ac:dyDescent="0.3">
      <c r="A256" s="3" t="s">
        <v>508</v>
      </c>
      <c r="B256" s="6" t="s">
        <v>509</v>
      </c>
      <c r="C256" s="5" t="str">
        <f ca="1">IFERROR(__xludf.DUMMYFUNCTION("GOOGLETRANSLATE(B256, ""tr"", ""en"" )"),"Forget again when to say what he remembers")</f>
        <v>Forget again when to say what he remembers</v>
      </c>
    </row>
    <row r="257" spans="1:3" ht="14.25" customHeight="1" x14ac:dyDescent="0.3">
      <c r="A257" s="3" t="s">
        <v>510</v>
      </c>
      <c r="B257" s="3" t="s">
        <v>511</v>
      </c>
      <c r="C257" s="5" t="str">
        <f ca="1">IFERROR(__xludf.DUMMYFUNCTION("GOOGLETRANSLATE(B257, ""tr"", ""en"" )"),"Avoiding randomly by thinking about the end, talking moderately, not talking randomly")</f>
        <v>Avoiding randomly by thinking about the end, talking moderately, not talking randomly</v>
      </c>
    </row>
    <row r="258" spans="1:3" ht="14.25" customHeight="1" x14ac:dyDescent="0.3">
      <c r="A258" s="3" t="s">
        <v>512</v>
      </c>
      <c r="B258" s="6" t="s">
        <v>513</v>
      </c>
      <c r="C258" s="5" t="str">
        <f ca="1">IFERROR(__xludf.DUMMYFUNCTION("GOOGLETRANSLATE(B258, ""tr"", ""en"" )"),"Always repeat a word, indigenously")</f>
        <v>Always repeat a word, indigenously</v>
      </c>
    </row>
    <row r="259" spans="1:3" ht="14.25" customHeight="1" x14ac:dyDescent="0.3">
      <c r="A259" s="3" t="s">
        <v>514</v>
      </c>
      <c r="B259" s="6" t="s">
        <v>515</v>
      </c>
      <c r="C259" s="5" t="str">
        <f ca="1">IFERROR(__xludf.DUMMYFUNCTION("GOOGLETRANSLATE(B259, ""tr"", ""en"" )"),"Getting very angry, getting angry, having anger")</f>
        <v>Getting very angry, getting angry, having anger</v>
      </c>
    </row>
    <row r="260" spans="1:3" ht="14.25" customHeight="1" x14ac:dyDescent="0.3">
      <c r="A260" s="3" t="s">
        <v>516</v>
      </c>
      <c r="B260" s="3" t="s">
        <v>517</v>
      </c>
      <c r="C260" s="5" t="str">
        <f ca="1">IFERROR(__xludf.DUMMYFUNCTION("GOOGLETRANSLATE(B260, ""tr"", ""en"" )"),"Trying to fulfill the orders of religion completely, whose belief is intact, is very attached to his religion.")</f>
        <v>Trying to fulfill the orders of religion completely, whose belief is intact, is very attached to his religion.</v>
      </c>
    </row>
    <row r="261" spans="1:3" ht="14.25" customHeight="1" x14ac:dyDescent="0.3">
      <c r="A261" s="3" t="s">
        <v>518</v>
      </c>
      <c r="B261" s="3" t="s">
        <v>519</v>
      </c>
      <c r="C261" s="5" t="str">
        <f ca="1">IFERROR(__xludf.DUMMYFUNCTION("GOOGLETRANSLATE(B261, ""tr"", ""en"" )"),"Working for many years to read, study")</f>
        <v>Working for many years to read, study</v>
      </c>
    </row>
    <row r="262" spans="1:3" ht="14.25" customHeight="1" x14ac:dyDescent="0.3">
      <c r="A262" s="3" t="s">
        <v>520</v>
      </c>
      <c r="B262" s="6" t="s">
        <v>521</v>
      </c>
      <c r="C262" s="5" t="str">
        <f ca="1">IFERROR(__xludf.DUMMYFUNCTION("GOOGLETRANSLATE(B262, ""tr"", ""en"" )"),"To take revenge, to look for an opportunity to do evil; take a position to show anger")</f>
        <v>To take revenge, to look for an opportunity to do evil; take a position to show anger</v>
      </c>
    </row>
    <row r="263" spans="1:3" ht="14.25" customHeight="1" x14ac:dyDescent="0.3">
      <c r="A263" s="3" t="s">
        <v>522</v>
      </c>
      <c r="B263" s="6" t="s">
        <v>523</v>
      </c>
      <c r="C263" s="5" t="str">
        <f ca="1">IFERROR(__xludf.DUMMYFUNCTION("GOOGLETRANSLATE(B263, ""tr"", ""en"" )"),"To be ineffective, not being able to strengthen, not being able to carry out the judgment and listen")</f>
        <v>To be ineffective, not being able to strengthen, not being able to carry out the judgment and listen</v>
      </c>
    </row>
    <row r="264" spans="1:3" ht="14.25" customHeight="1" x14ac:dyDescent="0.3">
      <c r="A264" s="3" t="s">
        <v>524</v>
      </c>
      <c r="B264" s="3" t="s">
        <v>525</v>
      </c>
      <c r="C264" s="5" t="str">
        <f ca="1">IFERROR(__xludf.DUMMYFUNCTION("GOOGLETRANSLATE(B264, ""tr"", ""en"" )"),"Considerably, useful, worth specifying, important")</f>
        <v>Considerably, useful, worth specifying, important</v>
      </c>
    </row>
    <row r="265" spans="1:3" ht="14.25" customHeight="1" x14ac:dyDescent="0.3">
      <c r="A265" s="3" t="s">
        <v>526</v>
      </c>
      <c r="B265" s="3" t="s">
        <v>527</v>
      </c>
      <c r="C265" s="5" t="str">
        <f ca="1">IFERROR(__xludf.DUMMYFUNCTION("GOOGLETRANSLATE(B265, ""tr"", ""en"" )"),"Food, drink and so on. forcibly accumulating by cutting them")</f>
        <v>Food, drink and so on. forcibly accumulating by cutting them</v>
      </c>
    </row>
    <row r="266" spans="1:3" ht="14.25" customHeight="1" x14ac:dyDescent="0.3">
      <c r="A266" s="3" t="s">
        <v>528</v>
      </c>
      <c r="B266" s="6" t="s">
        <v>529</v>
      </c>
      <c r="C266" s="5" t="str">
        <f ca="1">IFERROR(__xludf.DUMMYFUNCTION("GOOGLETRANSLATE(B266, ""tr"", ""en"" )"),"In a suitable situation that he can do, his power is enough")</f>
        <v>In a suitable situation that he can do, his power is enough</v>
      </c>
    </row>
    <row r="267" spans="1:3" ht="14.25" customHeight="1" x14ac:dyDescent="0.3">
      <c r="A267" s="3" t="s">
        <v>530</v>
      </c>
      <c r="B267" s="6" t="s">
        <v>531</v>
      </c>
      <c r="C267" s="5" t="str">
        <f ca="1">IFERROR(__xludf.DUMMYFUNCTION("GOOGLETRANSLATE(B267, ""tr"", ""en"" )"),"To be based on stenosis, distress; To endure all kinds of difficulties")</f>
        <v>To be based on stenosis, distress; To endure all kinds of difficulties</v>
      </c>
    </row>
    <row r="268" spans="1:3" ht="14.25" customHeight="1" x14ac:dyDescent="0.3">
      <c r="A268" s="3" t="s">
        <v>532</v>
      </c>
      <c r="B268" s="3" t="s">
        <v>533</v>
      </c>
      <c r="C268" s="5" t="str">
        <f ca="1">IFERROR(__xludf.DUMMYFUNCTION("GOOGLETRANSLATE(B268, ""tr"", ""en"" )"),"To listen to his commandment by defeating the one who oppose him, to subjugate")</f>
        <v>To listen to his commandment by defeating the one who oppose him, to subjugate</v>
      </c>
    </row>
    <row r="269" spans="1:3" ht="14.25" customHeight="1" x14ac:dyDescent="0.3">
      <c r="A269" s="3" t="s">
        <v>534</v>
      </c>
      <c r="B269" s="3" t="s">
        <v>535</v>
      </c>
      <c r="C269" s="5" t="str">
        <f ca="1">IFERROR(__xludf.DUMMYFUNCTION("GOOGLETRANSLATE(B269, ""tr"", ""en"" )"),"Seizing management, starting to manage the business itself")</f>
        <v>Seizing management, starting to manage the business itself</v>
      </c>
    </row>
    <row r="270" spans="1:3" ht="14.25" customHeight="1" x14ac:dyDescent="0.3">
      <c r="A270" s="3" t="s">
        <v>536</v>
      </c>
      <c r="B270" s="3" t="s">
        <v>537</v>
      </c>
      <c r="C270" s="5" t="str">
        <f ca="1">IFERROR(__xludf.DUMMYFUNCTION("GOOGLETRANSLATE(B270, ""tr"", ""en"" )"),"Regret")</f>
        <v>Regret</v>
      </c>
    </row>
    <row r="271" spans="1:3" ht="14.25" customHeight="1" x14ac:dyDescent="0.3">
      <c r="A271" s="3" t="s">
        <v>538</v>
      </c>
      <c r="B271" s="6" t="s">
        <v>539</v>
      </c>
      <c r="C271" s="5" t="str">
        <f ca="1">IFERROR(__xludf.DUMMYFUNCTION("GOOGLETRANSLATE(B271, ""tr"", ""en"" )"),"To come out of fear, excitement, fatigue")</f>
        <v>To come out of fear, excitement, fatigue</v>
      </c>
    </row>
    <row r="272" spans="1:3" ht="14.25" customHeight="1" x14ac:dyDescent="0.3">
      <c r="A272" s="3" t="s">
        <v>540</v>
      </c>
      <c r="B272" s="6" t="s">
        <v>541</v>
      </c>
      <c r="C272" s="5" t="str">
        <f ca="1">IFERROR(__xludf.DUMMYFUNCTION("GOOGLETRANSLATE(B272, ""tr"", ""en"" )"),"Waiting with curiosity, excitement, impatiently, suffering")</f>
        <v>Waiting with curiosity, excitement, impatiently, suffering</v>
      </c>
    </row>
    <row r="273" spans="1:3" ht="14.25" customHeight="1" x14ac:dyDescent="0.3">
      <c r="A273" s="3" t="s">
        <v>542</v>
      </c>
      <c r="B273" s="6" t="s">
        <v>543</v>
      </c>
      <c r="C273" s="5" t="str">
        <f ca="1">IFERROR(__xludf.DUMMYFUNCTION("GOOGLETRANSLATE(B273, ""tr"", ""en"" )"),"Doing business with cheating, order and dalavere")</f>
        <v>Doing business with cheating, order and dalavere</v>
      </c>
    </row>
    <row r="274" spans="1:3" ht="14.25" customHeight="1" x14ac:dyDescent="0.3">
      <c r="A274" s="3" t="s">
        <v>544</v>
      </c>
      <c r="B274" s="6" t="s">
        <v>545</v>
      </c>
      <c r="C274" s="5" t="str">
        <f ca="1">IFERROR(__xludf.DUMMYFUNCTION("GOOGLETRANSLATE(B274, ""tr"", ""en"" )"),"As much as it cannot be prevented")</f>
        <v>As much as it cannot be prevented</v>
      </c>
    </row>
    <row r="275" spans="1:3" ht="14.25" customHeight="1" x14ac:dyDescent="0.3">
      <c r="A275" s="3" t="s">
        <v>546</v>
      </c>
      <c r="B275" s="3" t="s">
        <v>547</v>
      </c>
      <c r="C275" s="5" t="str">
        <f ca="1">IFERROR(__xludf.DUMMYFUNCTION("GOOGLETRANSLATE(B275, ""tr"", ""en"" )"),"A power that cannot be out of it")</f>
        <v>A power that cannot be out of it</v>
      </c>
    </row>
    <row r="276" spans="1:3" ht="14.25" customHeight="1" x14ac:dyDescent="0.3">
      <c r="A276" s="3" t="s">
        <v>548</v>
      </c>
      <c r="B276" s="6" t="s">
        <v>549</v>
      </c>
      <c r="C276" s="5" t="str">
        <f ca="1">IFERROR(__xludf.DUMMYFUNCTION("GOOGLETRANSLATE(B276, ""tr"", ""en"" )"),"Let it show off; The goal is to be doing business, not to do business")</f>
        <v>Let it show off; The goal is to be doing business, not to do business</v>
      </c>
    </row>
    <row r="277" spans="1:3" ht="14.25" customHeight="1" x14ac:dyDescent="0.3">
      <c r="A277" s="3" t="s">
        <v>550</v>
      </c>
      <c r="B277" s="6" t="s">
        <v>551</v>
      </c>
      <c r="C277" s="5" t="str">
        <f ca="1">IFERROR(__xludf.DUMMYFUNCTION("GOOGLETRANSLATE(B277, ""tr"", ""en"" )"),"Get rid of a dangerous situation without any harm")</f>
        <v>Get rid of a dangerous situation without any harm</v>
      </c>
    </row>
    <row r="278" spans="1:3" ht="14.25" customHeight="1" x14ac:dyDescent="0.3">
      <c r="A278" s="3" t="s">
        <v>552</v>
      </c>
      <c r="B278" s="3" t="s">
        <v>553</v>
      </c>
      <c r="C278" s="5" t="str">
        <f ca="1">IFERROR(__xludf.DUMMYFUNCTION("GOOGLETRANSLATE(B278, ""tr"", ""en"" )"),"To do a job to do a job, to run left and right in astonishment, search for a remedy")</f>
        <v>To do a job to do a job, to run left and right in astonishment, search for a remedy</v>
      </c>
    </row>
    <row r="279" spans="1:3" ht="14.25" customHeight="1" x14ac:dyDescent="0.3">
      <c r="A279" s="3" t="s">
        <v>554</v>
      </c>
      <c r="B279" s="3" t="s">
        <v>555</v>
      </c>
      <c r="C279" s="5" t="str">
        <f ca="1">IFERROR(__xludf.DUMMYFUNCTION("GOOGLETRANSLATE(B279, ""tr"", ""en"" )"),"To engage in the work he will do with great importance and pay attention")</f>
        <v>To engage in the work he will do with great importance and pay attention</v>
      </c>
    </row>
    <row r="280" spans="1:3" ht="14.25" customHeight="1" x14ac:dyDescent="0.3">
      <c r="A280" s="3" t="s">
        <v>556</v>
      </c>
      <c r="B280" s="3" t="s">
        <v>557</v>
      </c>
      <c r="C280" s="5" t="str">
        <f ca="1">IFERROR(__xludf.DUMMYFUNCTION("GOOGLETRANSLATE(B280, ""tr"", ""en"" )"),"Missing, very willingly, waiting for great impatience")</f>
        <v>Missing, very willingly, waiting for great impatience</v>
      </c>
    </row>
    <row r="281" spans="1:3" ht="14.25" customHeight="1" x14ac:dyDescent="0.3">
      <c r="A281" s="3" t="s">
        <v>558</v>
      </c>
      <c r="B281" s="6" t="s">
        <v>559</v>
      </c>
      <c r="C281" s="5" t="str">
        <f ca="1">IFERROR(__xludf.DUMMYFUNCTION("GOOGLETRANSLATE(B281, ""tr"", ""en"" )"),"Not to care, not to like, to underestimate")</f>
        <v>Not to care, not to like, to underestimate</v>
      </c>
    </row>
    <row r="282" spans="1:3" ht="14.25" customHeight="1" x14ac:dyDescent="0.3">
      <c r="A282" s="3" t="s">
        <v>560</v>
      </c>
      <c r="B282" s="3" t="s">
        <v>561</v>
      </c>
      <c r="C282" s="5" t="str">
        <f ca="1">IFERROR(__xludf.DUMMYFUNCTION("GOOGLETRANSLATE(B282, ""tr"", ""en"" )"),"Admire")</f>
        <v>Admire</v>
      </c>
    </row>
    <row r="283" spans="1:3" ht="14.25" customHeight="1" x14ac:dyDescent="0.3">
      <c r="A283" s="3" t="s">
        <v>562</v>
      </c>
      <c r="B283" s="3" t="s">
        <v>563</v>
      </c>
      <c r="C283" s="5" t="str">
        <f ca="1">IFERROR(__xludf.DUMMYFUNCTION("GOOGLETRANSLATE(B283, ""tr"", ""en"" )"),"Very fresh")</f>
        <v>Very fresh</v>
      </c>
    </row>
    <row r="284" spans="1:3" ht="14.25" customHeight="1" x14ac:dyDescent="0.3">
      <c r="A284" s="3" t="s">
        <v>564</v>
      </c>
      <c r="B284" s="6" t="s">
        <v>565</v>
      </c>
      <c r="C284" s="5" t="str">
        <f ca="1">IFERROR(__xludf.DUMMYFUNCTION("GOOGLETRANSLATE(B284, ""tr"", ""en"" )"),"Shut up; to lose his talk, joy, joy; be out of a sound")</f>
        <v>Shut up; to lose his talk, joy, joy; be out of a sound</v>
      </c>
    </row>
    <row r="285" spans="1:3" ht="14.25" customHeight="1" x14ac:dyDescent="0.3">
      <c r="A285" s="3" t="s">
        <v>566</v>
      </c>
      <c r="B285" s="6" t="s">
        <v>567</v>
      </c>
      <c r="C285" s="5" t="str">
        <f ca="1">IFERROR(__xludf.DUMMYFUNCTION("GOOGLETRANSLATE(B285, ""tr"", ""en"" )"),"Very crowded and pronounced place")</f>
        <v>Very crowded and pronounced place</v>
      </c>
    </row>
    <row r="286" spans="1:3" ht="14.25" customHeight="1" x14ac:dyDescent="0.3">
      <c r="A286" s="3" t="s">
        <v>568</v>
      </c>
      <c r="B286" s="6" t="s">
        <v>569</v>
      </c>
      <c r="C286" s="5" t="str">
        <f ca="1">IFERROR(__xludf.DUMMYFUNCTION("GOOGLETRANSLATE(B286, ""tr"", ""en"" )"),"Establishing order and doing fraudulent business")</f>
        <v>Establishing order and doing fraudulent business</v>
      </c>
    </row>
    <row r="287" spans="1:3" ht="14.25" customHeight="1" x14ac:dyDescent="0.3">
      <c r="A287" s="3" t="s">
        <v>570</v>
      </c>
      <c r="B287" s="3" t="s">
        <v>571</v>
      </c>
      <c r="C287" s="5" t="str">
        <f ca="1">IFERROR(__xludf.DUMMYFUNCTION("GOOGLETRANSLATE(B287, ""tr"", ""en"" )"),"Tare falling, disaster, losing hope")</f>
        <v>Tare falling, disaster, losing hope</v>
      </c>
    </row>
    <row r="288" spans="1:3" ht="14.25" customHeight="1" x14ac:dyDescent="0.3">
      <c r="A288" s="3" t="s">
        <v>572</v>
      </c>
      <c r="B288" s="6" t="s">
        <v>573</v>
      </c>
      <c r="C288" s="5" t="str">
        <f ca="1">IFERROR(__xludf.DUMMYFUNCTION("GOOGLETRANSLATE(B288, ""tr"", ""en"" )"),"Before you die, while living")</f>
        <v>Before you die, while living</v>
      </c>
    </row>
    <row r="289" spans="1:3" ht="14.25" customHeight="1" x14ac:dyDescent="0.3">
      <c r="A289" s="3" t="s">
        <v>574</v>
      </c>
      <c r="B289" s="6" t="s">
        <v>575</v>
      </c>
      <c r="C289" s="5" t="str">
        <f ca="1">IFERROR(__xludf.DUMMYFUNCTION("GOOGLETRANSLATE(B289, ""tr"", ""en"" )"),"Very happy to be very happy")</f>
        <v>Very happy to be very happy</v>
      </c>
    </row>
    <row r="290" spans="1:3" ht="14.25" customHeight="1" x14ac:dyDescent="0.3">
      <c r="A290" s="3" t="s">
        <v>576</v>
      </c>
      <c r="B290" s="6" t="s">
        <v>577</v>
      </c>
      <c r="C290" s="5" t="str">
        <f ca="1">IFERROR(__xludf.DUMMYFUNCTION("GOOGLETRANSLATE(B290, ""tr"", ""en"" )"),"Learning what can happen to people in the world, encountering difficulties, gaining experience")</f>
        <v>Learning what can happen to people in the world, encountering difficulties, gaining experience</v>
      </c>
    </row>
    <row r="291" spans="1:3" ht="14.25" customHeight="1" x14ac:dyDescent="0.3">
      <c r="A291" s="3" t="s">
        <v>578</v>
      </c>
      <c r="B291" s="6" t="s">
        <v>579</v>
      </c>
      <c r="C291" s="5" t="str">
        <f ca="1">IFERROR(__xludf.DUMMYFUNCTION("GOOGLETRANSLATE(B291, ""tr"", ""en"" )"),"Far away")</f>
        <v>Far away</v>
      </c>
    </row>
    <row r="292" spans="1:3" ht="14.25" customHeight="1" x14ac:dyDescent="0.3">
      <c r="A292" s="3" t="s">
        <v>580</v>
      </c>
      <c r="B292" s="3" t="s">
        <v>581</v>
      </c>
      <c r="C292" s="5" t="str">
        <f ca="1">IFERROR(__xludf.DUMMYFUNCTION("GOOGLETRANSLATE(B292, ""tr"", ""en"" )"),"Being optimistic, looking at even sad situations")</f>
        <v>Being optimistic, looking at even sad situations</v>
      </c>
    </row>
    <row r="293" spans="1:3" ht="14.25" customHeight="1" x14ac:dyDescent="0.3">
      <c r="A293" s="3" t="s">
        <v>582</v>
      </c>
      <c r="B293" s="6" t="s">
        <v>583</v>
      </c>
      <c r="C293" s="5" t="str">
        <f ca="1">IFERROR(__xludf.DUMMYFUNCTION("GOOGLETRANSLATE(B293, ""tr"", ""en"" )"),"Sometimes the work is good, sometimes badly, with difficulty, to be attempt (to do)")</f>
        <v>Sometimes the work is good, sometimes badly, with difficulty, to be attempt (to do)</v>
      </c>
    </row>
    <row r="294" spans="1:3" ht="14.25" customHeight="1" x14ac:dyDescent="0.3">
      <c r="A294" s="3" t="s">
        <v>584</v>
      </c>
      <c r="B294" s="6" t="s">
        <v>585</v>
      </c>
      <c r="C294" s="5" t="str">
        <f ca="1">IFERROR(__xludf.DUMMYFUNCTION("GOOGLETRANSLATE(B294, ""tr"", ""en"" )"),"To make proportions, to annoy the enemy with good situations and achievements")</f>
        <v>To make proportions, to annoy the enemy with good situations and achievements</v>
      </c>
    </row>
    <row r="295" spans="1:3" ht="14.25" customHeight="1" x14ac:dyDescent="0.3">
      <c r="A295" s="3" t="s">
        <v>586</v>
      </c>
      <c r="B295" s="6" t="s">
        <v>587</v>
      </c>
      <c r="C295" s="5" t="str">
        <f ca="1">IFERROR(__xludf.DUMMYFUNCTION("GOOGLETRANSLATE(B295, ""tr"", ""en"" )"),"To be very scared, to be in excitement and sweat, to be in fear and depression")</f>
        <v>To be very scared, to be in excitement and sweat, to be in fear and depression</v>
      </c>
    </row>
    <row r="296" spans="1:3" ht="14.25" customHeight="1" x14ac:dyDescent="0.3">
      <c r="A296" s="3" t="s">
        <v>588</v>
      </c>
      <c r="B296" s="6" t="s">
        <v>589</v>
      </c>
      <c r="C296" s="5" t="str">
        <f ca="1">IFERROR(__xludf.DUMMYFUNCTION("GOOGLETRANSLATE(B296, ""tr"", ""en"" )"),"Engaging in dangerous jobs to lead to death")</f>
        <v>Engaging in dangerous jobs to lead to death</v>
      </c>
    </row>
    <row r="297" spans="1:3" ht="14.25" customHeight="1" x14ac:dyDescent="0.3">
      <c r="A297" s="3" t="s">
        <v>590</v>
      </c>
      <c r="B297" s="6" t="s">
        <v>591</v>
      </c>
      <c r="C297" s="5" t="str">
        <f ca="1">IFERROR(__xludf.DUMMYFUNCTION("GOOGLETRANSLATE(B297, ""tr"", ""en"" )"),"Murdered churpuk, curved, without properly, has taken an ugly form")</f>
        <v>Murdered churpuk, curved, without properly, has taken an ugly form</v>
      </c>
    </row>
    <row r="298" spans="1:3" ht="14.25" customHeight="1" x14ac:dyDescent="0.3">
      <c r="A298" s="3" t="s">
        <v>592</v>
      </c>
      <c r="B298" s="6" t="s">
        <v>593</v>
      </c>
      <c r="C298" s="5" t="str">
        <f ca="1">IFERROR(__xludf.DUMMYFUNCTION("GOOGLETRANSLATE(B298, ""tr"", ""en"" )"),"To eliminate the distress, try to destroy the sadness")</f>
        <v>To eliminate the distress, try to destroy the sadness</v>
      </c>
    </row>
    <row r="299" spans="1:3" ht="14.25" customHeight="1" x14ac:dyDescent="0.3">
      <c r="A299" s="3" t="s">
        <v>594</v>
      </c>
      <c r="B299" s="6" t="s">
        <v>595</v>
      </c>
      <c r="C299" s="5" t="str">
        <f ca="1">IFERROR(__xludf.DUMMYFUNCTION("GOOGLETRANSLATE(B299, ""tr"", ""en"" )"),"Removing or throwing out of work")</f>
        <v>Removing or throwing out of work</v>
      </c>
    </row>
    <row r="300" spans="1:3" ht="14.25" customHeight="1" x14ac:dyDescent="0.3">
      <c r="A300" s="3" t="s">
        <v>596</v>
      </c>
      <c r="B300" s="6" t="s">
        <v>597</v>
      </c>
      <c r="C300" s="5" t="str">
        <f ca="1">IFERROR(__xludf.DUMMYFUNCTION("GOOGLETRANSLATE(B300, ""tr"", ""en"" )"),"To act according to the benefit of someone, to act in a way that does not want to work")</f>
        <v>To act according to the benefit of someone, to act in a way that does not want to work</v>
      </c>
    </row>
    <row r="301" spans="1:3" ht="14.25" customHeight="1" x14ac:dyDescent="0.3">
      <c r="A301" s="3" t="s">
        <v>598</v>
      </c>
      <c r="B301" s="3" t="s">
        <v>599</v>
      </c>
      <c r="C301" s="5" t="str">
        <f ca="1">IFERROR(__xludf.DUMMYFUNCTION("GOOGLETRANSLATE(B301, ""tr"", ""en"" )"),"Winning the money that will make a living and meet your needs")</f>
        <v>Winning the money that will make a living and meet your needs</v>
      </c>
    </row>
    <row r="302" spans="1:3" ht="14.25" customHeight="1" x14ac:dyDescent="0.3">
      <c r="A302" s="3" t="s">
        <v>600</v>
      </c>
      <c r="B302" s="3" t="s">
        <v>601</v>
      </c>
      <c r="C302" s="5" t="str">
        <f ca="1">IFERROR(__xludf.DUMMYFUNCTION("GOOGLETRANSLATE(B302, ""tr"", ""en"" )"),"Even the hardest work and being in the skills that will make a living, do all kinds of jobs")</f>
        <v>Even the hardest work and being in the skills that will make a living, do all kinds of jobs</v>
      </c>
    </row>
    <row r="303" spans="1:3" ht="14.25" customHeight="1" x14ac:dyDescent="0.3">
      <c r="A303" s="3" t="s">
        <v>602</v>
      </c>
      <c r="B303" s="3" t="s">
        <v>603</v>
      </c>
      <c r="C303" s="5" t="str">
        <f ca="1">IFERROR(__xludf.DUMMYFUNCTION("GOOGLETRANSLATE(B303, ""tr"", ""en"" )"),"He does not win himself and gets along with the earnings of others")</f>
        <v>He does not win himself and gets along with the earnings of others</v>
      </c>
    </row>
    <row r="304" spans="1:3" ht="14.25" customHeight="1" x14ac:dyDescent="0.3">
      <c r="A304" s="6" t="s">
        <v>604</v>
      </c>
      <c r="B304" s="6" t="s">
        <v>605</v>
      </c>
      <c r="C304" s="5" t="str">
        <f ca="1">IFERROR(__xludf.DUMMYFUNCTION("GOOGLETRANSLATE(B304, ""tr"", ""en"" )"),"Workplace that works and earns money")</f>
        <v>Workplace that works and earns money</v>
      </c>
    </row>
    <row r="305" spans="1:3" ht="14.25" customHeight="1" x14ac:dyDescent="0.3">
      <c r="A305" s="3" t="s">
        <v>606</v>
      </c>
      <c r="B305" s="3" t="s">
        <v>607</v>
      </c>
      <c r="C305" s="5" t="str">
        <f ca="1">IFERROR(__xludf.DUMMYFUNCTION("GOOGLETRANSLATE(B305, ""tr"", ""en"" )"),"Earnings, money earned to get along")</f>
        <v>Earnings, money earned to get along</v>
      </c>
    </row>
    <row r="306" spans="1:3" ht="14.25" customHeight="1" x14ac:dyDescent="0.3">
      <c r="A306" s="3" t="s">
        <v>608</v>
      </c>
      <c r="B306" s="3" t="s">
        <v>609</v>
      </c>
      <c r="C306" s="5" t="str">
        <f ca="1">IFERROR(__xludf.DUMMYFUNCTION("GOOGLETRANSLATE(B306, ""tr"", ""en"" )"),"Little Needs")</f>
        <v>Little Needs</v>
      </c>
    </row>
    <row r="307" spans="1:3" ht="14.25" customHeight="1" x14ac:dyDescent="0.3">
      <c r="A307" s="3" t="s">
        <v>610</v>
      </c>
      <c r="B307" s="3" t="s">
        <v>611</v>
      </c>
      <c r="C307" s="5" t="str">
        <f ca="1">IFERROR(__xludf.DUMMYFUNCTION("GOOGLETRANSLATE(B307, ""tr"", ""en"" )"),"Begged")</f>
        <v>Begged</v>
      </c>
    </row>
    <row r="308" spans="1:3" ht="14.25" customHeight="1" x14ac:dyDescent="0.3">
      <c r="A308" s="3" t="s">
        <v>612</v>
      </c>
      <c r="B308" s="3" t="s">
        <v>613</v>
      </c>
      <c r="C308" s="5" t="str">
        <f ca="1">IFERROR(__xludf.DUMMYFUNCTION("GOOGLETRANSLATE(B308, ""tr"", ""en"" )"),"Without anyone's knowledge, secretly")</f>
        <v>Without anyone's knowledge, secretly</v>
      </c>
    </row>
    <row r="309" spans="1:3" ht="14.25" customHeight="1" x14ac:dyDescent="0.3">
      <c r="A309" s="3" t="s">
        <v>614</v>
      </c>
      <c r="B309" s="3" t="s">
        <v>615</v>
      </c>
      <c r="C309" s="5" t="str">
        <f ca="1">IFERROR(__xludf.DUMMYFUNCTION("GOOGLETRANSLATE(B309, ""tr"", ""en"" )"),"Take a job")</f>
        <v>Take a job</v>
      </c>
    </row>
    <row r="310" spans="1:3" ht="14.25" customHeight="1" x14ac:dyDescent="0.3">
      <c r="A310" s="3" t="s">
        <v>616</v>
      </c>
      <c r="B310" s="3" t="s">
        <v>604</v>
      </c>
      <c r="C310" s="5" t="str">
        <f ca="1">IFERROR(__xludf.DUMMYFUNCTION("GOOGLETRANSLATE(B310, ""tr"", ""en"" )"),"There's no one around, becoming desolate and becoming silent")</f>
        <v>There's no one around, becoming desolate and becoming silent</v>
      </c>
    </row>
    <row r="311" spans="1:3" ht="14.25" customHeight="1" x14ac:dyDescent="0.3">
      <c r="A311" s="6" t="s">
        <v>617</v>
      </c>
      <c r="B311" s="6" t="s">
        <v>618</v>
      </c>
      <c r="C311" s="5" t="str">
        <f ca="1">IFERROR(__xludf.DUMMYFUNCTION("GOOGLETRANSLATE(B311, ""tr"", ""en"" )"),"To spend your money, property, all its existence and finished")</f>
        <v>To spend your money, property, all its existence and finished</v>
      </c>
    </row>
    <row r="312" spans="1:3" ht="14.25" customHeight="1" x14ac:dyDescent="0.3">
      <c r="A312" s="3" t="s">
        <v>619</v>
      </c>
      <c r="B312" s="6" t="s">
        <v>620</v>
      </c>
      <c r="C312" s="5" t="str">
        <f ca="1">IFERROR(__xludf.DUMMYFUNCTION("GOOGLETRANSLATE(B312, ""tr"", ""en"" )"),"Have something")</f>
        <v>Have something</v>
      </c>
    </row>
    <row r="313" spans="1:3" ht="14.25" customHeight="1" x14ac:dyDescent="0.3">
      <c r="A313" s="3" t="s">
        <v>621</v>
      </c>
      <c r="B313" s="6" t="s">
        <v>622</v>
      </c>
      <c r="C313" s="5" t="str">
        <f ca="1">IFERROR(__xludf.DUMMYFUNCTION("GOOGLETRANSLATE(B313, ""tr"", ""en"" )"),"Old age cannot do business because of illness, can not walk, to be able to see your own business")</f>
        <v>Old age cannot do business because of illness, can not walk, to be able to see your own business</v>
      </c>
    </row>
    <row r="314" spans="1:3" ht="14.25" customHeight="1" x14ac:dyDescent="0.3">
      <c r="A314" s="3" t="s">
        <v>623</v>
      </c>
      <c r="B314" s="6" t="s">
        <v>624</v>
      </c>
      <c r="C314" s="5" t="str">
        <f ca="1">IFERROR(__xludf.DUMMYFUNCTION("GOOGLETRANSLATE(B314, ""tr"", ""en"" )"),"Correcting and repairing deficiencies; To take a lot of things to supervise and check, review")</f>
        <v>Correcting and repairing deficiencies; To take a lot of things to supervise and check, review</v>
      </c>
    </row>
    <row r="315" spans="1:3" ht="14.25" customHeight="1" x14ac:dyDescent="0.3">
      <c r="A315" s="3" t="s">
        <v>625</v>
      </c>
      <c r="B315" s="3" t="s">
        <v>626</v>
      </c>
      <c r="C315" s="5" t="str">
        <f ca="1">IFERROR(__xludf.DUMMYFUNCTION("GOOGLETRANSLATE(B315, ""tr"", ""en"" )"),"Not to listen to words, not to recognize rules, to be conquered")</f>
        <v>Not to listen to words, not to recognize rules, to be conquered</v>
      </c>
    </row>
    <row r="316" spans="1:3" ht="14.25" customHeight="1" x14ac:dyDescent="0.3">
      <c r="A316" s="3" t="s">
        <v>627</v>
      </c>
      <c r="B316" s="3" t="s">
        <v>628</v>
      </c>
      <c r="C316" s="5" t="str">
        <f ca="1">IFERROR(__xludf.DUMMYFUNCTION("GOOGLETRANSLATE(B316, ""tr"", ""en"" )"),"To capture the criminal by informing the place where it is located")</f>
        <v>To capture the criminal by informing the place where it is located</v>
      </c>
    </row>
    <row r="317" spans="1:3" ht="14.25" customHeight="1" x14ac:dyDescent="0.3">
      <c r="A317" s="3" t="s">
        <v>629</v>
      </c>
      <c r="B317" s="3" t="s">
        <v>630</v>
      </c>
      <c r="C317" s="5" t="str">
        <f ca="1">IFERROR(__xludf.DUMMYFUNCTION("GOOGLETRANSLATE(B317, ""tr"", ""en"" )"),"Generous")</f>
        <v>Generous</v>
      </c>
    </row>
    <row r="318" spans="1:3" ht="14.25" customHeight="1" x14ac:dyDescent="0.3">
      <c r="A318" s="3" t="s">
        <v>631</v>
      </c>
      <c r="B318" s="6" t="s">
        <v>632</v>
      </c>
      <c r="C318" s="5" t="str">
        <f ca="1">IFERROR(__xludf.DUMMYFUNCTION("GOOGLETRANSLATE(B318, ""tr"", ""en"" )"),"Pretty slow")</f>
        <v>Pretty slow</v>
      </c>
    </row>
    <row r="319" spans="1:3" ht="14.25" customHeight="1" x14ac:dyDescent="0.3">
      <c r="A319" s="3" t="s">
        <v>633</v>
      </c>
      <c r="B319" s="6" t="s">
        <v>634</v>
      </c>
      <c r="C319" s="5" t="str">
        <f ca="1">IFERROR(__xludf.DUMMYFUNCTION("GOOGLETRANSLATE(B319, ""tr"", ""en"" )"),"To be in a place where he can handle and use at any time")</f>
        <v>To be in a place where he can handle and use at any time</v>
      </c>
    </row>
    <row r="320" spans="1:3" ht="14.25" customHeight="1" x14ac:dyDescent="0.3">
      <c r="A320" s="3" t="s">
        <v>635</v>
      </c>
      <c r="B320" s="6" t="s">
        <v>636</v>
      </c>
      <c r="C320" s="5" t="str">
        <f ca="1">IFERROR(__xludf.DUMMYFUNCTION("GOOGLETRANSLATE(B320, ""tr"", ""en"" )"),"Fear, excitement and sadness cannot know what to do, to freeze")</f>
        <v>Fear, excitement and sadness cannot know what to do, to freeze</v>
      </c>
    </row>
    <row r="321" spans="1:3" ht="14.25" customHeight="1" x14ac:dyDescent="0.3">
      <c r="A321" s="3" t="s">
        <v>637</v>
      </c>
      <c r="B321" s="6" t="s">
        <v>638</v>
      </c>
      <c r="C321" s="5" t="str">
        <f ca="1">IFERROR(__xludf.DUMMYFUNCTION("GOOGLETRANSLATE(B321, ""tr"", ""en"" )"),"Being with the power to do business, being physical power")</f>
        <v>Being with the power to do business, being physical power</v>
      </c>
    </row>
    <row r="322" spans="1:3" ht="14.25" customHeight="1" x14ac:dyDescent="0.3">
      <c r="A322" s="3" t="s">
        <v>639</v>
      </c>
      <c r="B322" s="6" t="s">
        <v>640</v>
      </c>
      <c r="C322" s="5" t="str">
        <f ca="1">IFERROR(__xludf.DUMMYFUNCTION("GOOGLETRANSLATE(B322, ""tr"", ""en"" )"),"Generous, with a lot of money and goods")</f>
        <v>Generous, with a lot of money and goods</v>
      </c>
    </row>
    <row r="323" spans="1:3" ht="14.25" customHeight="1" x14ac:dyDescent="0.3">
      <c r="A323" s="3" t="s">
        <v>641</v>
      </c>
      <c r="B323" s="3" t="s">
        <v>642</v>
      </c>
      <c r="C323" s="5" t="str">
        <f ca="1">IFERROR(__xludf.DUMMYFUNCTION("GOOGLETRANSLATE(B323, ""tr"", ""en"" )"),"Go back before you get what you hope")</f>
        <v>Go back before you get what you hope</v>
      </c>
    </row>
    <row r="324" spans="1:3" ht="14.25" customHeight="1" x14ac:dyDescent="0.3">
      <c r="A324" s="3" t="s">
        <v>643</v>
      </c>
      <c r="B324" s="6" t="s">
        <v>644</v>
      </c>
      <c r="C324" s="5" t="str">
        <f ca="1">IFERROR(__xludf.DUMMYFUNCTION("GOOGLETRANSLATE(B324, ""tr"", ""en"" )"),"Fast -breaking")</f>
        <v>Fast -breaking</v>
      </c>
    </row>
    <row r="325" spans="1:3" ht="14.25" customHeight="1" x14ac:dyDescent="0.3">
      <c r="A325" s="3" t="s">
        <v>645</v>
      </c>
      <c r="B325" s="6" t="s">
        <v>646</v>
      </c>
      <c r="C325" s="5" t="str">
        <f ca="1">IFERROR(__xludf.DUMMYFUNCTION("GOOGLETRANSLATE(B325, ""tr"", ""en"" )"),"Suffered money for a livelihood")</f>
        <v>Suffered money for a livelihood</v>
      </c>
    </row>
    <row r="326" spans="1:3" ht="14.25" customHeight="1" x14ac:dyDescent="0.3">
      <c r="A326" s="3" t="s">
        <v>647</v>
      </c>
      <c r="B326" s="3" t="s">
        <v>648</v>
      </c>
      <c r="C326" s="5" t="str">
        <f ca="1">IFERROR(__xludf.DUMMYFUNCTION("GOOGLETRANSLATE(B326, ""tr"", ""en"" )"),"Working without hurting, without hurting")</f>
        <v>Working without hurting, without hurting</v>
      </c>
    </row>
    <row r="327" spans="1:3" ht="14.25" customHeight="1" x14ac:dyDescent="0.3">
      <c r="A327" s="3" t="s">
        <v>649</v>
      </c>
      <c r="B327" s="3" t="s">
        <v>650</v>
      </c>
      <c r="C327" s="5" t="str">
        <f ca="1">IFERROR(__xludf.DUMMYFUNCTION("GOOGLETRANSLATE(B327, ""tr"", ""en"" )"),"To support, to help to progress")</f>
        <v>To support, to help to progress</v>
      </c>
    </row>
    <row r="328" spans="1:3" ht="14.25" customHeight="1" x14ac:dyDescent="0.3">
      <c r="A328" s="3" t="s">
        <v>651</v>
      </c>
      <c r="B328" s="6" t="s">
        <v>652</v>
      </c>
      <c r="C328" s="5" t="str">
        <f ca="1">IFERROR(__xludf.DUMMYFUNCTION("GOOGLETRANSLATE(B328, ""tr"", ""en"" )"),"Be in need of someone")</f>
        <v>Be in need of someone</v>
      </c>
    </row>
    <row r="329" spans="1:3" ht="14.25" customHeight="1" x14ac:dyDescent="0.3">
      <c r="A329" s="3" t="s">
        <v>653</v>
      </c>
      <c r="B329" s="6" t="s">
        <v>654</v>
      </c>
      <c r="C329" s="5" t="str">
        <f ca="1">IFERROR(__xludf.DUMMYFUNCTION("GOOGLETRANSLATE(B329, ""tr"", ""en"" )"),"Being fast, hurry")</f>
        <v>Being fast, hurry</v>
      </c>
    </row>
    <row r="330" spans="1:3" ht="14.25" customHeight="1" x14ac:dyDescent="0.3">
      <c r="A330" s="3" t="s">
        <v>655</v>
      </c>
      <c r="B330" s="6" t="s">
        <v>656</v>
      </c>
      <c r="C330" s="5" t="str">
        <f ca="1">IFERROR(__xludf.DUMMYFUNCTION("GOOGLETRANSLATE(B330, ""tr"", ""en"" )"),"Killing or injuring someone")</f>
        <v>Killing or injuring someone</v>
      </c>
    </row>
    <row r="331" spans="1:3" ht="14.25" customHeight="1" x14ac:dyDescent="0.3">
      <c r="A331" s="3" t="s">
        <v>657</v>
      </c>
      <c r="B331" s="3" t="s">
        <v>658</v>
      </c>
      <c r="C331" s="5" t="str">
        <f ca="1">IFERROR(__xludf.DUMMYFUNCTION("GOOGLETRANSLATE(B331, ""tr"", ""en"" )"),"Recklessly, without hesitation, without fear of anyone")</f>
        <v>Recklessly, without hesitation, without fear of anyone</v>
      </c>
    </row>
    <row r="332" spans="1:3" ht="14.25" customHeight="1" x14ac:dyDescent="0.3">
      <c r="A332" s="3" t="s">
        <v>659</v>
      </c>
      <c r="B332" s="3" t="s">
        <v>660</v>
      </c>
      <c r="C332" s="5" t="str">
        <f ca="1">IFERROR(__xludf.DUMMYFUNCTION("GOOGLETRANSLATE(B332, ""tr"", ""en"" )"),"Being very coy, not doing any work at home, avoiding difficult jobs")</f>
        <v>Being very coy, not doing any work at home, avoiding difficult jobs</v>
      </c>
    </row>
    <row r="333" spans="1:3" ht="14.25" customHeight="1" x14ac:dyDescent="0.3">
      <c r="A333" s="3" t="s">
        <v>661</v>
      </c>
      <c r="B333" s="6" t="s">
        <v>662</v>
      </c>
      <c r="C333" s="5" t="str">
        <f ca="1">IFERROR(__xludf.DUMMYFUNCTION("GOOGLETRANSLATE(B333, ""tr"", ""en"" )"),"Don't spend easy money, stingy, very frugal")</f>
        <v>Don't spend easy money, stingy, very frugal</v>
      </c>
    </row>
    <row r="334" spans="1:3" ht="14.25" customHeight="1" x14ac:dyDescent="0.3">
      <c r="A334" s="3" t="s">
        <v>663</v>
      </c>
      <c r="B334" s="3" t="s">
        <v>664</v>
      </c>
      <c r="C334" s="5" t="str">
        <f ca="1">IFERROR(__xludf.DUMMYFUNCTION("GOOGLETRANSLATE(B334, ""tr"", ""en"" )"),"The thief does not fall behind from crossing something as long as he has the opportunity")</f>
        <v>The thief does not fall behind from crossing something as long as he has the opportunity</v>
      </c>
    </row>
    <row r="335" spans="1:3" ht="14.25" customHeight="1" x14ac:dyDescent="0.3">
      <c r="A335" s="3" t="s">
        <v>665</v>
      </c>
      <c r="B335" s="3" t="s">
        <v>666</v>
      </c>
      <c r="C335" s="5" t="str">
        <f ca="1">IFERROR(__xludf.DUMMYFUNCTION("GOOGLETRANSLATE(B335, ""tr"", ""en"" )"),"Not to be willing to do a job")</f>
        <v>Not to be willing to do a job</v>
      </c>
    </row>
    <row r="336" spans="1:3" ht="14.25" customHeight="1" x14ac:dyDescent="0.3">
      <c r="A336" s="3" t="s">
        <v>667</v>
      </c>
      <c r="B336" s="6" t="s">
        <v>668</v>
      </c>
      <c r="C336" s="5" t="str">
        <f ca="1">IFERROR(__xludf.DUMMYFUNCTION("GOOGLETRANSLATE(B336, ""tr"", ""en"" )"),"Small, tiny")</f>
        <v>Small, tiny</v>
      </c>
    </row>
    <row r="337" spans="1:3" ht="14.25" customHeight="1" x14ac:dyDescent="0.3">
      <c r="A337" s="3" t="s">
        <v>669</v>
      </c>
      <c r="B337" s="3" t="s">
        <v>670</v>
      </c>
      <c r="C337" s="5" t="str">
        <f ca="1">IFERROR(__xludf.DUMMYFUNCTION("GOOGLETRANSLATE(B337, ""tr"", ""en"" )"),"Foreign")</f>
        <v>Foreign</v>
      </c>
    </row>
    <row r="338" spans="1:3" ht="14.25" customHeight="1" x14ac:dyDescent="0.3">
      <c r="A338" s="3" t="s">
        <v>671</v>
      </c>
      <c r="B338" s="3" t="s">
        <v>672</v>
      </c>
      <c r="C338" s="5" t="str">
        <f ca="1">IFERROR(__xludf.DUMMYFUNCTION("GOOGLETRANSLATE(B338, ""tr"", ""en"" )"),"To be very valued and loved, to be greatly respected")</f>
        <v>To be very valued and loved, to be greatly respected</v>
      </c>
    </row>
    <row r="339" spans="1:3" ht="14.25" customHeight="1" x14ac:dyDescent="0.3">
      <c r="A339" s="3" t="s">
        <v>673</v>
      </c>
      <c r="B339" s="3" t="s">
        <v>674</v>
      </c>
      <c r="C339" s="5" t="str">
        <f ca="1">IFERROR(__xludf.DUMMYFUNCTION("GOOGLETRANSLATE(B339, ""tr"", ""en"" )"),"The person who has to do the job ordered to him")</f>
        <v>The person who has to do the job ordered to him</v>
      </c>
    </row>
    <row r="340" spans="1:3" ht="14.25" customHeight="1" x14ac:dyDescent="0.3">
      <c r="A340" s="3" t="s">
        <v>675</v>
      </c>
      <c r="B340" s="6" t="s">
        <v>676</v>
      </c>
      <c r="C340" s="5" t="str">
        <f ca="1">IFERROR(__xludf.DUMMYFUNCTION("GOOGLETRANSLATE(B340, ""tr"", ""en"" )"),"In every aspect, complete, considering all the possibilities")</f>
        <v>In every aspect, complete, considering all the possibilities</v>
      </c>
    </row>
    <row r="341" spans="1:3" ht="14.25" customHeight="1" x14ac:dyDescent="0.3">
      <c r="A341" s="3" t="s">
        <v>677</v>
      </c>
      <c r="B341" s="6" t="s">
        <v>678</v>
      </c>
      <c r="C341" s="5" t="str">
        <f ca="1">IFERROR(__xludf.DUMMYFUNCTION("GOOGLETRANSLATE(B341, ""tr"", ""en"" )"),"Shouting and holding it with anger")</f>
        <v>Shouting and holding it with anger</v>
      </c>
    </row>
    <row r="342" spans="1:3" ht="14.25" customHeight="1" x14ac:dyDescent="0.3">
      <c r="A342" s="3" t="s">
        <v>679</v>
      </c>
      <c r="B342" s="3" t="s">
        <v>680</v>
      </c>
      <c r="C342" s="5" t="str">
        <f ca="1">IFERROR(__xludf.DUMMYFUNCTION("GOOGLETRANSLATE(B342, ""tr"", ""en"" )"),"Re -addressing old events, re -on -the -agenda")</f>
        <v>Re -addressing old events, re -on -the -agenda</v>
      </c>
    </row>
    <row r="343" spans="1:3" ht="14.25" customHeight="1" x14ac:dyDescent="0.3">
      <c r="A343" s="3" t="s">
        <v>681</v>
      </c>
      <c r="B343" s="6" t="s">
        <v>682</v>
      </c>
      <c r="C343" s="5" t="str">
        <f ca="1">IFERROR(__xludf.DUMMYFUNCTION("GOOGLETRANSLATE(B343, ""tr"", ""en"" )"),"Nothing has changed, it is in the old situation")</f>
        <v>Nothing has changed, it is in the old situation</v>
      </c>
    </row>
    <row r="344" spans="1:3" ht="14.25" customHeight="1" x14ac:dyDescent="0.3">
      <c r="A344" s="3" t="s">
        <v>683</v>
      </c>
      <c r="B344" s="6" t="s">
        <v>684</v>
      </c>
      <c r="C344" s="5" t="str">
        <f ca="1">IFERROR(__xludf.DUMMYFUNCTION("GOOGLETRANSLATE(B344, ""tr"", ""en"" )"),"It is not open to innovation, depending on the old in terms of life and thought")</f>
        <v>It is not open to innovation, depending on the old in terms of life and thought</v>
      </c>
    </row>
    <row r="345" spans="1:3" ht="14.25" customHeight="1" x14ac:dyDescent="0.3">
      <c r="A345" s="3" t="s">
        <v>685</v>
      </c>
      <c r="B345" s="6" t="s">
        <v>686</v>
      </c>
      <c r="C345" s="5" t="str">
        <f ca="1">IFERROR(__xludf.DUMMYFUNCTION("GOOGLETRANSLATE(B345, ""tr"", ""en"" )"),"Despite his old age, his vigor, his durability, who still continues his strength")</f>
        <v>Despite his old age, his vigor, his durability, who still continues his strength</v>
      </c>
    </row>
    <row r="346" spans="1:3" ht="14.25" customHeight="1" x14ac:dyDescent="0.3">
      <c r="A346" s="3" t="s">
        <v>687</v>
      </c>
      <c r="B346" s="6" t="s">
        <v>688</v>
      </c>
      <c r="C346" s="5" t="str">
        <f ca="1">IFERROR(__xludf.DUMMYFUNCTION("GOOGLETRANSLATE(B346, ""tr"", ""en"" )"),"Taking precautions to make your job safe")</f>
        <v>Taking precautions to make your job safe</v>
      </c>
    </row>
    <row r="347" spans="1:3" ht="14.25" customHeight="1" x14ac:dyDescent="0.3">
      <c r="A347" s="3" t="s">
        <v>689</v>
      </c>
      <c r="B347" s="6" t="s">
        <v>690</v>
      </c>
      <c r="C347" s="5" t="str">
        <f ca="1">IFERROR(__xludf.DUMMYFUNCTION("GOOGLETRANSLATE(B347, ""tr"", ""en"" )"),"To have a job to do a job to go somewhere to go a lot")</f>
        <v>To have a job to do a job to go somewhere to go a lot</v>
      </c>
    </row>
    <row r="348" spans="1:3" ht="14.25" customHeight="1" x14ac:dyDescent="0.3">
      <c r="A348" s="3" t="s">
        <v>691</v>
      </c>
      <c r="B348" s="6" t="s">
        <v>692</v>
      </c>
      <c r="C348" s="5" t="str">
        <f ca="1">IFERROR(__xludf.DUMMYFUNCTION("GOOGLETRANSLATE(B348, ""tr"", ""en"" )"),"When no one will work will be docile, not settles")</f>
        <v>When no one will work will be docile, not settles</v>
      </c>
    </row>
    <row r="349" spans="1:3" ht="14.25" customHeight="1" x14ac:dyDescent="0.3">
      <c r="A349" s="3" t="s">
        <v>693</v>
      </c>
      <c r="B349" s="6" t="s">
        <v>694</v>
      </c>
      <c r="C349" s="5" t="str">
        <f ca="1">IFERROR(__xludf.DUMMYFUNCTION("GOOGLETRANSLATE(B349, ""tr"", ""en"" )"),"To be very pronounced, to be excited")</f>
        <v>To be very pronounced, to be excited</v>
      </c>
    </row>
    <row r="350" spans="1:3" ht="14.25" customHeight="1" x14ac:dyDescent="0.3">
      <c r="A350" s="3" t="s">
        <v>695</v>
      </c>
      <c r="B350" s="6" t="s">
        <v>696</v>
      </c>
      <c r="C350" s="5" t="str">
        <f ca="1">IFERROR(__xludf.DUMMYFUNCTION("GOOGLETRANSLATE(B350, ""tr"", ""en"" )"),"To be very happy, to be on the way to work")</f>
        <v>To be very happy, to be on the way to work</v>
      </c>
    </row>
    <row r="351" spans="1:3" ht="14.25" customHeight="1" x14ac:dyDescent="0.3">
      <c r="A351" s="3" t="s">
        <v>697</v>
      </c>
      <c r="B351" s="6" t="s">
        <v>698</v>
      </c>
      <c r="C351" s="5" t="str">
        <f ca="1">IFERROR(__xludf.DUMMYFUNCTION("GOOGLETRANSLATE(B351, ""tr"", ""en"" )"),"Avoiding issues that do not of interest to itself, events that affect society deeply, avoid and not be interested in none")</f>
        <v>Avoiding issues that do not of interest to itself, events that affect society deeply, avoid and not be interested in none</v>
      </c>
    </row>
    <row r="352" spans="1:3" ht="14.25" customHeight="1" x14ac:dyDescent="0.3">
      <c r="A352" s="3" t="s">
        <v>699</v>
      </c>
      <c r="B352" s="6" t="s">
        <v>700</v>
      </c>
      <c r="C352" s="5" t="str">
        <f ca="1">IFERROR(__xludf.DUMMYFUNCTION("GOOGLETRANSLATE(B352, ""tr"", ""en"" )"),"To have a strict relationship, not to break with each other")</f>
        <v>To have a strict relationship, not to break with each other</v>
      </c>
    </row>
    <row r="353" spans="1:3" ht="14.25" customHeight="1" x14ac:dyDescent="0.3">
      <c r="A353" s="3" t="s">
        <v>701</v>
      </c>
      <c r="B353" s="6" t="s">
        <v>702</v>
      </c>
      <c r="C353" s="5" t="str">
        <f ca="1">IFERROR(__xludf.DUMMYFUNCTION("GOOGLETRANSLATE(B353, ""tr"", ""en"" )"),"Seeing the punishment of an evil he does")</f>
        <v>Seeing the punishment of an evil he does</v>
      </c>
    </row>
    <row r="354" spans="1:3" ht="14.25" customHeight="1" x14ac:dyDescent="0.3">
      <c r="A354" s="3" t="s">
        <v>703</v>
      </c>
      <c r="B354" s="6" t="s">
        <v>704</v>
      </c>
      <c r="C354" s="5" t="str">
        <f ca="1">IFERROR(__xludf.DUMMYFUNCTION("GOOGLETRANSLATE(B354, ""tr"", ""en"" )"),"In advance, a job that is thought to be thought to go as expected, to develop in another direction")</f>
        <v>In advance, a job that is thought to be thought to go as expected, to develop in another direction</v>
      </c>
    </row>
    <row r="355" spans="1:3" ht="14.25" customHeight="1" x14ac:dyDescent="0.3">
      <c r="A355" s="3" t="s">
        <v>705</v>
      </c>
      <c r="B355" s="6" t="s">
        <v>706</v>
      </c>
      <c r="C355" s="5" t="str">
        <f ca="1">IFERROR(__xludf.DUMMYFUNCTION("GOOGLETRANSLATE(B355, ""tr"", ""en"" )"),"Not to go under gratitude and not to submit")</f>
        <v>Not to go under gratitude and not to submit</v>
      </c>
    </row>
    <row r="356" spans="1:3" ht="14.25" customHeight="1" x14ac:dyDescent="0.3">
      <c r="A356" s="3" t="s">
        <v>707</v>
      </c>
      <c r="B356" s="6" t="s">
        <v>708</v>
      </c>
      <c r="C356" s="5" t="str">
        <f ca="1">IFERROR(__xludf.DUMMYFUNCTION("GOOGLETRANSLATE(B356, ""tr"", ""en"" )"),"Falling into the trap, being deceived")</f>
        <v>Falling into the trap, being deceived</v>
      </c>
    </row>
    <row r="357" spans="1:3" ht="14.25" customHeight="1" x14ac:dyDescent="0.3">
      <c r="A357" s="3" t="s">
        <v>709</v>
      </c>
      <c r="B357" s="6" t="s">
        <v>710</v>
      </c>
      <c r="C357" s="5" t="str">
        <f ca="1">IFERROR(__xludf.DUMMYFUNCTION("GOOGLETRANSLATE(B357, ""tr"", ""en"" )"),"To give a deficit or to be a defective situation, to reveal the defect")</f>
        <v>To give a deficit or to be a defective situation, to reveal the defect</v>
      </c>
    </row>
    <row r="358" spans="1:3" ht="14.25" customHeight="1" x14ac:dyDescent="0.3">
      <c r="A358" s="3" t="s">
        <v>711</v>
      </c>
      <c r="B358" s="6" t="s">
        <v>712</v>
      </c>
      <c r="C358" s="5" t="str">
        <f ca="1">IFERROR(__xludf.DUMMYFUNCTION("GOOGLETRANSLATE(B358, ""tr"", ""en"" )"),"Being a place to be deserted, not being there")</f>
        <v>Being a place to be deserted, not being there</v>
      </c>
    </row>
    <row r="359" spans="1:3" ht="14.25" customHeight="1" x14ac:dyDescent="0.3">
      <c r="A359" s="3" t="s">
        <v>713</v>
      </c>
      <c r="B359" s="6" t="s">
        <v>714</v>
      </c>
      <c r="C359" s="5" t="str">
        <f ca="1">IFERROR(__xludf.DUMMYFUNCTION("GOOGLETRANSLATE(B359, ""tr"", ""en"" )"),"He has seen a lot of days in life, experienced bitterly sweet events and gained experience, mature")</f>
        <v>He has seen a lot of days in life, experienced bitterly sweet events and gained experience, mature</v>
      </c>
    </row>
    <row r="360" spans="1:3" ht="14.25" customHeight="1" x14ac:dyDescent="0.3">
      <c r="A360" s="3" t="s">
        <v>715</v>
      </c>
      <c r="B360" s="6" t="s">
        <v>716</v>
      </c>
      <c r="C360" s="5" t="str">
        <f ca="1">IFERROR(__xludf.DUMMYFUNCTION("GOOGLETRANSLATE(B360, ""tr"", ""en"" )"),"Call out with excitement by looking at almost every corner")</f>
        <v>Call out with excitement by looking at almost every corner</v>
      </c>
    </row>
    <row r="361" spans="1:3" ht="14.25" customHeight="1" x14ac:dyDescent="0.3">
      <c r="A361" s="3" t="s">
        <v>717</v>
      </c>
      <c r="B361" s="6" t="s">
        <v>718</v>
      </c>
      <c r="C361" s="5" t="str">
        <f ca="1">IFERROR(__xludf.DUMMYFUNCTION("GOOGLETRANSLATE(B361, ""tr"", ""en"" )"),"Rule, law, not listening to words; not to command anywhere")</f>
        <v>Rule, law, not listening to words; not to command anywhere</v>
      </c>
    </row>
    <row r="362" spans="1:3" ht="14.25" customHeight="1" x14ac:dyDescent="0.3">
      <c r="A362" s="3" t="s">
        <v>719</v>
      </c>
      <c r="B362" s="6" t="s">
        <v>720</v>
      </c>
      <c r="C362" s="5" t="str">
        <f ca="1">IFERROR(__xludf.DUMMYFUNCTION("GOOGLETRANSLATE(B362, ""tr"", ""en"" )"),"Establishing order, seeing fraudulent work")</f>
        <v>Establishing order, seeing fraudulent work</v>
      </c>
    </row>
    <row r="363" spans="1:3" ht="14.25" customHeight="1" x14ac:dyDescent="0.3">
      <c r="A363" s="3" t="s">
        <v>721</v>
      </c>
      <c r="B363" s="6" t="s">
        <v>722</v>
      </c>
      <c r="C363" s="5" t="str">
        <f ca="1">IFERROR(__xludf.DUMMYFUNCTION("GOOGLETRANSLATE(B363, ""tr"", ""en"" )"),"Wandering and having fun, playing here and jumping around")</f>
        <v>Wandering and having fun, playing here and jumping around</v>
      </c>
    </row>
    <row r="364" spans="1:3" ht="14.25" customHeight="1" x14ac:dyDescent="0.3">
      <c r="A364" s="3" t="s">
        <v>723</v>
      </c>
      <c r="B364" s="6" t="s">
        <v>724</v>
      </c>
      <c r="C364" s="5" t="str">
        <f ca="1">IFERROR(__xludf.DUMMYFUNCTION("GOOGLETRANSLATE(B364, ""tr"", ""en"" )"),"A few people in a place where someone is located secretly and talking in a low voice")</f>
        <v>A few people in a place where someone is located secretly and talking in a low voice</v>
      </c>
    </row>
    <row r="365" spans="1:3" ht="14.25" customHeight="1" x14ac:dyDescent="0.3">
      <c r="A365" s="3" t="s">
        <v>725</v>
      </c>
      <c r="B365" s="6" t="s">
        <v>726</v>
      </c>
      <c r="C365" s="5" t="str">
        <f ca="1">IFERROR(__xludf.DUMMYFUNCTION("GOOGLETRANSLATE(B365, ""tr"", ""en"" )"),"To behave to disrupt people, to make words, to make words")</f>
        <v>To behave to disrupt people, to make words, to make words</v>
      </c>
    </row>
    <row r="366" spans="1:3" ht="14.25" customHeight="1" x14ac:dyDescent="0.3">
      <c r="A366" s="3" t="s">
        <v>727</v>
      </c>
      <c r="B366" s="6" t="s">
        <v>728</v>
      </c>
      <c r="C366" s="5" t="str">
        <f ca="1">IFERROR(__xludf.DUMMYFUNCTION("GOOGLETRANSLATE(B366, ""tr"", ""en"" )"),"To determine the value of something, to determine the money for money")</f>
        <v>To determine the value of something, to determine the money for money</v>
      </c>
    </row>
    <row r="367" spans="1:3" ht="14.25" customHeight="1" x14ac:dyDescent="0.3">
      <c r="A367" s="3" t="s">
        <v>729</v>
      </c>
      <c r="B367" s="6" t="s">
        <v>730</v>
      </c>
      <c r="C367" s="5" t="str">
        <f ca="1">IFERROR(__xludf.DUMMYFUNCTION("GOOGLETRANSLATE(B367, ""tr"", ""en"" )"),"To fall into a doubt if there is no symptom (on a subject)")</f>
        <v>To fall into a doubt if there is no symptom (on a subject)</v>
      </c>
    </row>
    <row r="368" spans="1:3" ht="14.25" customHeight="1" x14ac:dyDescent="0.3">
      <c r="A368" s="3" t="s">
        <v>731</v>
      </c>
      <c r="B368" s="6" t="s">
        <v>732</v>
      </c>
      <c r="C368" s="5" t="str">
        <f ca="1">IFERROR(__xludf.DUMMYFUNCTION("GOOGLETRANSLATE(B368, ""tr"", ""en"" )"),"Lie, Full, trick, bad quality, defect emerge")</f>
        <v>Lie, Full, trick, bad quality, defect emerge</v>
      </c>
    </row>
    <row r="369" spans="1:3" ht="14.25" customHeight="1" x14ac:dyDescent="0.3">
      <c r="A369" s="3" t="s">
        <v>733</v>
      </c>
      <c r="B369" s="6" t="s">
        <v>734</v>
      </c>
      <c r="C369" s="5" t="str">
        <f ca="1">IFERROR(__xludf.DUMMYFUNCTION("GOOGLETRANSLATE(B369, ""tr"", ""en"" )"),"Catching a person at a moment of unprepared and unaware, making it difficult, taking advantage of the difficulty")</f>
        <v>Catching a person at a moment of unprepared and unaware, making it difficult, taking advantage of the difficulty</v>
      </c>
    </row>
    <row r="370" spans="1:3" ht="14.25" customHeight="1" x14ac:dyDescent="0.3">
      <c r="A370" s="3" t="s">
        <v>735</v>
      </c>
      <c r="B370" s="6" t="s">
        <v>736</v>
      </c>
      <c r="C370" s="5" t="str">
        <f ca="1">IFERROR(__xludf.DUMMYFUNCTION("GOOGLETRANSLATE(B370, ""tr"", ""en"" )"),"Being pensive, careless, drowsiness")</f>
        <v>Being pensive, careless, drowsiness</v>
      </c>
    </row>
    <row r="371" spans="1:3" ht="14.25" customHeight="1" x14ac:dyDescent="0.3">
      <c r="A371" s="3" t="s">
        <v>737</v>
      </c>
      <c r="B371" s="6" t="s">
        <v>738</v>
      </c>
      <c r="C371" s="5" t="str">
        <f ca="1">IFERROR(__xludf.DUMMYFUNCTION("GOOGLETRANSLATE(B371, ""tr"", ""en"" )"),"Not to worry, not to worry, not to be upset")</f>
        <v>Not to worry, not to worry, not to be upset</v>
      </c>
    </row>
    <row r="372" spans="1:3" ht="14.25" customHeight="1" x14ac:dyDescent="0.3">
      <c r="A372" s="3" t="s">
        <v>739</v>
      </c>
      <c r="B372" s="6" t="s">
        <v>740</v>
      </c>
      <c r="C372" s="5" t="str">
        <f ca="1">IFERROR(__xludf.DUMMYFUNCTION("GOOGLETRANSLATE(B372, ""tr"", ""en"" )"),"Generous, plenty of hand, does not hesitate to give")</f>
        <v>Generous, plenty of hand, does not hesitate to give</v>
      </c>
    </row>
    <row r="373" spans="1:3" ht="14.25" customHeight="1" x14ac:dyDescent="0.3">
      <c r="A373" s="3" t="s">
        <v>741</v>
      </c>
      <c r="B373" s="6" t="s">
        <v>742</v>
      </c>
      <c r="C373" s="5" t="str">
        <f ca="1">IFERROR(__xludf.DUMMYFUNCTION("GOOGLETRANSLATE(B373, ""tr"", ""en"" )"),"Unable to destroy, prevent, cannot be softened")</f>
        <v>Unable to destroy, prevent, cannot be softened</v>
      </c>
    </row>
    <row r="374" spans="1:3" ht="14.25" customHeight="1" x14ac:dyDescent="0.3">
      <c r="A374" s="3" t="s">
        <v>743</v>
      </c>
      <c r="B374" s="6" t="s">
        <v>744</v>
      </c>
      <c r="C374" s="5" t="str">
        <f ca="1">IFERROR(__xludf.DUMMYFUNCTION("GOOGLETRANSLATE(B374, ""tr"", ""en"" )"),"Who wandered at night and gets a habit of this")</f>
        <v>Who wandered at night and gets a habit of this</v>
      </c>
    </row>
    <row r="375" spans="1:3" ht="14.25" customHeight="1" x14ac:dyDescent="0.3">
      <c r="A375" s="3" t="s">
        <v>745</v>
      </c>
      <c r="B375" s="6" t="s">
        <v>746</v>
      </c>
      <c r="C375" s="5" t="str">
        <f ca="1">IFERROR(__xludf.DUMMYFUNCTION("GOOGLETRANSLATE(B375, ""tr"", ""en"" )"),"Working continuously without a break; make a great effort")</f>
        <v>Working continuously without a break; make a great effort</v>
      </c>
    </row>
    <row r="376" spans="1:3" ht="14.25" customHeight="1" x14ac:dyDescent="0.3">
      <c r="A376" s="3" t="s">
        <v>747</v>
      </c>
      <c r="B376" s="6" t="s">
        <v>748</v>
      </c>
      <c r="C376" s="5" t="str">
        <f ca="1">IFERROR(__xludf.DUMMYFUNCTION("GOOGLETRANSLATE(B376, ""tr"", ""en"" )"),"miss the opportunity")</f>
        <v>miss the opportunity</v>
      </c>
    </row>
    <row r="377" spans="1:3" ht="14.25" customHeight="1" x14ac:dyDescent="0.3">
      <c r="A377" s="3" t="s">
        <v>749</v>
      </c>
      <c r="B377" s="6" t="s">
        <v>750</v>
      </c>
      <c r="C377" s="5" t="str">
        <f ca="1">IFERROR(__xludf.DUMMYFUNCTION("GOOGLETRANSLATE(B377, ""tr"", ""en"" )"),"Satisfaction with a situation, things go well")</f>
        <v>Satisfaction with a situation, things go well</v>
      </c>
    </row>
    <row r="378" spans="1:3" ht="14.25" customHeight="1" x14ac:dyDescent="0.3">
      <c r="A378" s="3" t="s">
        <v>751</v>
      </c>
      <c r="B378" s="6" t="s">
        <v>752</v>
      </c>
      <c r="C378" s="5" t="str">
        <f ca="1">IFERROR(__xludf.DUMMYFUNCTION("GOOGLETRANSLATE(B378, ""tr"", ""en"" )"),"After a long time")</f>
        <v>After a long time</v>
      </c>
    </row>
    <row r="379" spans="1:3" ht="14.25" customHeight="1" x14ac:dyDescent="0.3">
      <c r="A379" s="3" t="s">
        <v>753</v>
      </c>
      <c r="B379" s="6" t="s">
        <v>754</v>
      </c>
      <c r="C379" s="5" t="str">
        <f ca="1">IFERROR(__xludf.DUMMYFUNCTION("GOOGLETRANSLATE(B379, ""tr"", ""en"" )"),"Not to listen to a word")</f>
        <v>Not to listen to a word</v>
      </c>
    </row>
    <row r="380" spans="1:3" ht="14.25" customHeight="1" x14ac:dyDescent="0.3">
      <c r="A380" s="3" t="s">
        <v>755</v>
      </c>
      <c r="B380" s="6" t="s">
        <v>756</v>
      </c>
      <c r="C380" s="5" t="str">
        <f ca="1">IFERROR(__xludf.DUMMYFUNCTION("GOOGLETRANSLATE(B380, ""tr"", ""en"" )"),"Not to avoid getting a job, starting that job")</f>
        <v>Not to avoid getting a job, starting that job</v>
      </c>
    </row>
    <row r="381" spans="1:3" ht="14.25" customHeight="1" x14ac:dyDescent="0.3">
      <c r="A381" s="3" t="s">
        <v>757</v>
      </c>
      <c r="B381" s="6" t="s">
        <v>758</v>
      </c>
      <c r="C381" s="5" t="str">
        <f ca="1">IFERROR(__xludf.DUMMYFUNCTION("GOOGLETRANSLATE(B381, ""tr"", ""en"" )"),"Bigoted, head full of superstitions, who do not accept innovations")</f>
        <v>Bigoted, head full of superstitions, who do not accept innovations</v>
      </c>
    </row>
    <row r="382" spans="1:3" ht="14.25" customHeight="1" x14ac:dyDescent="0.3">
      <c r="A382" s="3" t="s">
        <v>759</v>
      </c>
      <c r="B382" s="6" t="s">
        <v>760</v>
      </c>
      <c r="C382" s="5" t="str">
        <f ca="1">IFERROR(__xludf.DUMMYFUNCTION("GOOGLETRANSLATE(B382, ""tr"", ""en"" )"),"Not to make a sound, not to complain, not to oppose")</f>
        <v>Not to make a sound, not to complain, not to oppose</v>
      </c>
    </row>
    <row r="383" spans="1:3" ht="14.25" customHeight="1" x14ac:dyDescent="0.3">
      <c r="A383" s="3" t="s">
        <v>761</v>
      </c>
      <c r="B383" s="6" t="s">
        <v>762</v>
      </c>
      <c r="C383" s="5" t="str">
        <f ca="1">IFERROR(__xludf.DUMMYFUNCTION("GOOGLETRANSLATE(B383, ""tr"", ""en"" )"),"Get tired of getting tired")</f>
        <v>Get tired of getting tired</v>
      </c>
    </row>
    <row r="384" spans="1:3" ht="14.25" customHeight="1" x14ac:dyDescent="0.3">
      <c r="A384" s="3" t="s">
        <v>763</v>
      </c>
      <c r="B384" s="6" t="s">
        <v>764</v>
      </c>
      <c r="C384" s="5" t="str">
        <f ca="1">IFERROR(__xludf.DUMMYFUNCTION("GOOGLETRANSLATE(B384, ""tr"", ""en"" )"),"Many, borrowing in a way that is difficult to pay")</f>
        <v>Many, borrowing in a way that is difficult to pay</v>
      </c>
    </row>
    <row r="385" spans="1:3" ht="14.25" customHeight="1" x14ac:dyDescent="0.3">
      <c r="A385" s="3" t="s">
        <v>765</v>
      </c>
      <c r="B385" s="6" t="s">
        <v>766</v>
      </c>
      <c r="C385" s="5" t="str">
        <f ca="1">IFERROR(__xludf.DUMMYFUNCTION("GOOGLETRANSLATE(B385, ""tr"", ""en"" )")," To pride, to be proud of")</f>
        <v xml:space="preserve"> To pride, to be proud of</v>
      </c>
    </row>
    <row r="386" spans="1:3" ht="14.25" customHeight="1" x14ac:dyDescent="0.3">
      <c r="A386" s="3" t="s">
        <v>767</v>
      </c>
      <c r="B386" s="6" t="s">
        <v>768</v>
      </c>
      <c r="C386" s="5" t="str">
        <f ca="1">IFERROR(__xludf.DUMMYFUNCTION("GOOGLETRANSLATE(B386, ""tr"", ""en"" )"),"To resist a difficulty, to resist")</f>
        <v>To resist a difficulty, to resist</v>
      </c>
    </row>
    <row r="387" spans="1:3" ht="14.25" customHeight="1" x14ac:dyDescent="0.3">
      <c r="A387" s="3" t="s">
        <v>769</v>
      </c>
      <c r="B387" s="6" t="s">
        <v>770</v>
      </c>
      <c r="C387" s="5" t="str">
        <f ca="1">IFERROR(__xludf.DUMMYFUNCTION("GOOGLETRANSLATE(B387, ""tr"", ""en"" )"),"Overdo")</f>
        <v>Overdo</v>
      </c>
    </row>
    <row r="388" spans="1:3" ht="14.25" customHeight="1" x14ac:dyDescent="0.3">
      <c r="A388" s="3" t="s">
        <v>771</v>
      </c>
      <c r="B388" s="6" t="s">
        <v>772</v>
      </c>
      <c r="C388" s="5" t="str">
        <f ca="1">IFERROR(__xludf.DUMMYFUNCTION("GOOGLETRANSLATE(B388, ""tr"", ""en"" )"),"To do things that will reduce the importance and value of something and reduce its reputation")</f>
        <v>To do things that will reduce the importance and value of something and reduce its reputation</v>
      </c>
    </row>
    <row r="389" spans="1:3" ht="14.25" customHeight="1" x14ac:dyDescent="0.3">
      <c r="A389" s="3" t="s">
        <v>773</v>
      </c>
      <c r="B389" s="6" t="s">
        <v>774</v>
      </c>
      <c r="C389" s="5" t="str">
        <f ca="1">IFERROR(__xludf.DUMMYFUNCTION("GOOGLETRANSLATE(B389, ""tr"", ""en"" )"),"Although he is deprived of sufficient opportunities, his hand behaved openly, generous")</f>
        <v>Although he is deprived of sufficient opportunities, his hand behaved openly, generous</v>
      </c>
    </row>
    <row r="390" spans="1:3" ht="14.25" customHeight="1" x14ac:dyDescent="0.3">
      <c r="A390" s="3" t="s">
        <v>775</v>
      </c>
      <c r="B390" s="6" t="s">
        <v>776</v>
      </c>
      <c r="C390" s="5" t="str">
        <f ca="1">IFERROR(__xludf.DUMMYFUNCTION("GOOGLETRANSLATE(B390, ""tr"", ""en"" )"),"The desire to do a favor to someone or to give something")</f>
        <v>The desire to do a favor to someone or to give something</v>
      </c>
    </row>
    <row r="391" spans="1:3" ht="14.25" customHeight="1" x14ac:dyDescent="0.3">
      <c r="A391" s="3" t="s">
        <v>777</v>
      </c>
      <c r="B391" s="6" t="s">
        <v>778</v>
      </c>
      <c r="C391" s="5" t="str">
        <f ca="1">IFERROR(__xludf.DUMMYFUNCTION("GOOGLETRANSLATE(B391, ""tr"", ""en"" )"),"Who do not want much money and goods, is content with the need for compulsory, does not make the possibilities feel a little, even in this case generous")</f>
        <v>Who do not want much money and goods, is content with the need for compulsory, does not make the possibilities feel a little, even in this case generous</v>
      </c>
    </row>
    <row r="392" spans="1:3" ht="14.25" customHeight="1" x14ac:dyDescent="0.3">
      <c r="A392" s="3" t="s">
        <v>779</v>
      </c>
      <c r="B392" s="6" t="s">
        <v>780</v>
      </c>
      <c r="C392" s="5" t="str">
        <f ca="1">IFERROR(__xludf.DUMMYFUNCTION("GOOGLETRANSLATE(B392, ""tr"", ""en"" )"),"Recognizing a broken, offended person with good words and behaviors")</f>
        <v>Recognizing a broken, offended person with good words and behaviors</v>
      </c>
    </row>
    <row r="393" spans="1:3" ht="14.25" customHeight="1" x14ac:dyDescent="0.3">
      <c r="A393" s="3" t="s">
        <v>781</v>
      </c>
      <c r="B393" s="6" t="s">
        <v>782</v>
      </c>
      <c r="C393" s="5" t="str">
        <f ca="1">IFERROR(__xludf.DUMMYFUNCTION("GOOGLETRANSLATE(B393, ""tr"", ""en"" )"),"Not very willing")</f>
        <v>Not very willing</v>
      </c>
    </row>
    <row r="394" spans="1:3" ht="14.25" customHeight="1" x14ac:dyDescent="0.3">
      <c r="A394" s="3" t="s">
        <v>783</v>
      </c>
      <c r="B394" s="6" t="s">
        <v>784</v>
      </c>
      <c r="C394" s="5" t="str">
        <f ca="1">IFERROR(__xludf.DUMMYFUNCTION("GOOGLETRANSLATE(B394, ""tr"", ""en"" )"),"To eliminate the resentment of someone with pleasant behaviors or words")</f>
        <v>To eliminate the resentment of someone with pleasant behaviors or words</v>
      </c>
    </row>
    <row r="395" spans="1:3" ht="14.25" customHeight="1" x14ac:dyDescent="0.3">
      <c r="A395" s="3" t="s">
        <v>785</v>
      </c>
      <c r="B395" s="6" t="s">
        <v>786</v>
      </c>
      <c r="C395" s="5" t="str">
        <f ca="1">IFERROR(__xludf.DUMMYFUNCTION("GOOGLETRANSLATE(B395, ""tr"", ""en"" )"),"The demonstration of crowds that unite their powers for a certain purpose")</f>
        <v>The demonstration of crowds that unite their powers for a certain purpose</v>
      </c>
    </row>
    <row r="396" spans="1:3" ht="14.25" customHeight="1" x14ac:dyDescent="0.3">
      <c r="A396" s="3" t="s">
        <v>787</v>
      </c>
      <c r="B396" s="6" t="s">
        <v>788</v>
      </c>
      <c r="C396" s="5" t="str">
        <f ca="1">IFERROR(__xludf.DUMMYFUNCTION("GOOGLETRANSLATE(B396, ""tr"", ""en"" )"),"Not being able to take care of something else because of their intense work")</f>
        <v>Not being able to take care of something else because of their intense work</v>
      </c>
    </row>
    <row r="397" spans="1:3" ht="14.25" customHeight="1" x14ac:dyDescent="0.3">
      <c r="A397" s="3" t="s">
        <v>789</v>
      </c>
      <c r="B397" s="6" t="s">
        <v>790</v>
      </c>
      <c r="C397" s="5" t="str">
        <f ca="1">IFERROR(__xludf.DUMMYFUNCTION("GOOGLETRANSLATE(B397, ""tr"", ""en"" )"),"Not allowing him to deal with something else by having pressure")</f>
        <v>Not allowing him to deal with something else by having pressure</v>
      </c>
    </row>
    <row r="398" spans="1:3" ht="14.25" customHeight="1" x14ac:dyDescent="0.3">
      <c r="A398" s="3" t="s">
        <v>791</v>
      </c>
      <c r="B398" s="6" t="s">
        <v>792</v>
      </c>
      <c r="C398" s="5" t="str">
        <f ca="1">IFERROR(__xludf.DUMMYFUNCTION("GOOGLETRANSLATE(B398, ""tr"", ""en"" )"),"In short, not careful, but to look like this; overhaul")</f>
        <v>In short, not careful, but to look like this; overhaul</v>
      </c>
    </row>
    <row r="399" spans="1:3" ht="14.25" customHeight="1" x14ac:dyDescent="0.3">
      <c r="A399" s="3" t="s">
        <v>793</v>
      </c>
      <c r="B399" s="6" t="s">
        <v>794</v>
      </c>
      <c r="C399" s="5" t="str">
        <f ca="1">IFERROR(__xludf.DUMMYFUNCTION("GOOGLETRANSLATE(B399, ""tr"", ""en"" )"),"Cheating with show, showing something like good, deceiving, misleading")</f>
        <v>Cheating with show, showing something like good, deceiving, misleading</v>
      </c>
    </row>
    <row r="400" spans="1:3" ht="14.25" customHeight="1" x14ac:dyDescent="0.3">
      <c r="A400" s="3" t="s">
        <v>795</v>
      </c>
      <c r="B400" s="6" t="s">
        <v>796</v>
      </c>
      <c r="C400" s="5" t="str">
        <f ca="1">IFERROR(__xludf.DUMMYFUNCTION("GOOGLETRANSLATE(B400, ""tr"", ""en"" )"),"Very valuable, dear, very important (nobody)")</f>
        <v>Very valuable, dear, very important (nobody)</v>
      </c>
    </row>
    <row r="401" spans="1:3" ht="14.25" customHeight="1" x14ac:dyDescent="0.3">
      <c r="A401" s="3" t="s">
        <v>797</v>
      </c>
      <c r="B401" s="6" t="s">
        <v>798</v>
      </c>
      <c r="C401" s="5" t="str">
        <f ca="1">IFERROR(__xludf.DUMMYFUNCTION("GOOGLETRANSLATE(B401, ""tr"", ""en"" )"),"To scare, threaten, intimidate to make what you want")</f>
        <v>To scare, threaten, intimidate to make what you want</v>
      </c>
    </row>
    <row r="402" spans="1:3" ht="14.25" customHeight="1" x14ac:dyDescent="0.3">
      <c r="A402" s="3" t="s">
        <v>799</v>
      </c>
      <c r="B402" s="6" t="s">
        <v>800</v>
      </c>
      <c r="C402" s="5" t="str">
        <f ca="1">IFERROR(__xludf.DUMMYFUNCTION("GOOGLETRANSLATE(B402, ""tr"", ""en"" )"),"To endure the exit of a property, to give up something and to consent to your absence")</f>
        <v>To endure the exit of a property, to give up something and to consent to your absence</v>
      </c>
    </row>
    <row r="403" spans="1:3" ht="14.25" customHeight="1" x14ac:dyDescent="0.3">
      <c r="A403" s="3" t="s">
        <v>801</v>
      </c>
      <c r="B403" s="6" t="s">
        <v>802</v>
      </c>
      <c r="C403" s="5" t="str">
        <f ca="1">IFERROR(__xludf.DUMMYFUNCTION("GOOGLETRANSLATE(B403, ""tr"", ""en"" )"),"Losing the love and interest in him before")</f>
        <v>Losing the love and interest in him before</v>
      </c>
    </row>
    <row r="404" spans="1:3" ht="14.25" customHeight="1" x14ac:dyDescent="0.3">
      <c r="A404" s="3" t="s">
        <v>803</v>
      </c>
      <c r="B404" s="6" t="s">
        <v>804</v>
      </c>
      <c r="C404" s="5" t="str">
        <f ca="1">IFERROR(__xludf.DUMMYFUNCTION("GOOGLETRANSLATE(B404, ""tr"", ""en"" )"),"The love between those who falls decreases over time")</f>
        <v>The love between those who falls decreases over time</v>
      </c>
    </row>
    <row r="405" spans="1:3" ht="14.25" customHeight="1" x14ac:dyDescent="0.3">
      <c r="A405" s="3" t="s">
        <v>805</v>
      </c>
      <c r="B405" s="6" t="s">
        <v>806</v>
      </c>
      <c r="C405" s="5" t="str">
        <f ca="1">IFERROR(__xludf.DUMMYFUNCTION("GOOGLETRANSLATE(B405, ""tr"", ""en"" )"),"Missing a lot, longing")</f>
        <v>Missing a lot, longing</v>
      </c>
    </row>
    <row r="406" spans="1:3" ht="14.25" customHeight="1" x14ac:dyDescent="0.3">
      <c r="A406" s="3" t="s">
        <v>807</v>
      </c>
      <c r="B406" s="6" t="s">
        <v>808</v>
      </c>
      <c r="C406" s="5" t="str">
        <f ca="1">IFERROR(__xludf.DUMMYFUNCTION("GOOGLETRANSLATE(B406, ""tr"", ""en"" )"),"To seize something")</f>
        <v>To seize something</v>
      </c>
    </row>
    <row r="407" spans="1:3" ht="14.25" customHeight="1" x14ac:dyDescent="0.3">
      <c r="A407" s="3" t="s">
        <v>809</v>
      </c>
      <c r="B407" s="6" t="s">
        <v>810</v>
      </c>
      <c r="C407" s="5" t="str">
        <f ca="1">IFERROR(__xludf.DUMMYFUNCTION("GOOGLETRANSLATE(B407, ""tr"", ""en"" )"),"To accept any damage and danger that it may face due to a job")</f>
        <v>To accept any damage and danger that it may face due to a job</v>
      </c>
    </row>
    <row r="408" spans="1:3" ht="14.25" customHeight="1" x14ac:dyDescent="0.3">
      <c r="A408" s="3" t="s">
        <v>811</v>
      </c>
      <c r="B408" s="6" t="s">
        <v>812</v>
      </c>
      <c r="C408" s="5" t="str">
        <f ca="1">IFERROR(__xludf.DUMMYFUNCTION("GOOGLETRANSLATE(B408, ""tr"", ""en"" )"),"To make others uneasy with excessive words and behaviors")</f>
        <v>To make others uneasy with excessive words and behaviors</v>
      </c>
    </row>
    <row r="409" spans="1:3" ht="14.25" customHeight="1" x14ac:dyDescent="0.3">
      <c r="A409" s="6" t="s">
        <v>813</v>
      </c>
      <c r="B409" s="6" t="s">
        <v>814</v>
      </c>
      <c r="C409" s="5" t="str">
        <f ca="1">IFERROR(__xludf.DUMMYFUNCTION("GOOGLETRANSLATE(B409, ""tr"", ""en"" )"),"Draw attention with his appearance")</f>
        <v>Draw attention with his appearance</v>
      </c>
    </row>
    <row r="410" spans="1:3" ht="14.25" customHeight="1" x14ac:dyDescent="0.3">
      <c r="A410" s="3" t="s">
        <v>815</v>
      </c>
      <c r="B410" s="6" t="s">
        <v>816</v>
      </c>
      <c r="C410" s="5" t="str">
        <f ca="1">IFERROR(__xludf.DUMMYFUNCTION("GOOGLETRANSLATE(B410, ""tr"", ""en"" )"),"With their abilities and behaviors, gaining love and confidence in their surroundings, where they are located")</f>
        <v>With their abilities and behaviors, gaining love and confidence in their surroundings, where they are located</v>
      </c>
    </row>
    <row r="411" spans="1:3" ht="14.25" customHeight="1" x14ac:dyDescent="0.3">
      <c r="A411" s="3" t="s">
        <v>817</v>
      </c>
      <c r="B411" s="6" t="s">
        <v>818</v>
      </c>
      <c r="C411" s="5" t="str">
        <f ca="1">IFERROR(__xludf.DUMMYFUNCTION("GOOGLETRANSLATE(B411, ""tr"", ""en"" )"),"Retaliation; In the same way, doing evil and revenge, taking the pain of the evil")</f>
        <v>Retaliation; In the same way, doing evil and revenge, taking the pain of the evil</v>
      </c>
    </row>
    <row r="412" spans="1:3" ht="14.25" customHeight="1" x14ac:dyDescent="0.3">
      <c r="A412" s="3" t="s">
        <v>819</v>
      </c>
      <c r="B412" s="6" t="s">
        <v>820</v>
      </c>
      <c r="C412" s="5" t="str">
        <f ca="1">IFERROR(__xludf.DUMMYFUNCTION("GOOGLETRANSLATE(B412, ""tr"", ""en"" )"),"Obviously, in front of everyone")</f>
        <v>Obviously, in front of everyone</v>
      </c>
    </row>
    <row r="413" spans="1:3" ht="14.25" customHeight="1" x14ac:dyDescent="0.3">
      <c r="A413" s="3" t="s">
        <v>821</v>
      </c>
      <c r="B413" s="6" t="s">
        <v>822</v>
      </c>
      <c r="C413" s="5" t="str">
        <f ca="1">IFERROR(__xludf.DUMMYFUNCTION("GOOGLETRANSLATE(B413, ""tr"", ""en"" )"),"Being seen from smoke, dark or dense dust")</f>
        <v>Being seen from smoke, dark or dense dust</v>
      </c>
    </row>
    <row r="414" spans="1:3" ht="14.25" customHeight="1" x14ac:dyDescent="0.3">
      <c r="A414" s="3" t="s">
        <v>823</v>
      </c>
      <c r="B414" s="6" t="s">
        <v>824</v>
      </c>
      <c r="C414" s="5" t="str">
        <f ca="1">IFERROR(__xludf.DUMMYFUNCTION("GOOGLETRANSLATE(B414, ""tr"", ""en"" )"),"The amount specified by visible, visible measurement or proportion")</f>
        <v>The amount specified by visible, visible measurement or proportion</v>
      </c>
    </row>
    <row r="415" spans="1:3" ht="14.25" customHeight="1" x14ac:dyDescent="0.3">
      <c r="A415" s="3" t="s">
        <v>825</v>
      </c>
      <c r="B415" s="6" t="s">
        <v>826</v>
      </c>
      <c r="C415" s="5" t="str">
        <f ca="1">IFERROR(__xludf.DUMMYFUNCTION("GOOGLETRANSLATE(B415, ""tr"", ""en"" )"),"Not to sleep at all")</f>
        <v>Not to sleep at all</v>
      </c>
    </row>
    <row r="416" spans="1:3" ht="14.25" customHeight="1" x14ac:dyDescent="0.3">
      <c r="A416" s="3" t="s">
        <v>827</v>
      </c>
      <c r="B416" s="6" t="s">
        <v>828</v>
      </c>
      <c r="C416" s="5" t="str">
        <f ca="1">IFERROR(__xludf.DUMMYFUNCTION("GOOGLETRANSLATE(B416, ""tr"", ""en"" )"),"Protecting, looking, observing")</f>
        <v>Protecting, looking, observing</v>
      </c>
    </row>
    <row r="417" spans="1:3" ht="14.25" customHeight="1" x14ac:dyDescent="0.3">
      <c r="A417" s="3" t="s">
        <v>829</v>
      </c>
      <c r="B417" s="6" t="s">
        <v>830</v>
      </c>
      <c r="C417" s="5" t="str">
        <f ca="1">IFERROR(__xludf.DUMMYFUNCTION("GOOGLETRANSLATE(B417, ""tr"", ""en"" )"),"Being opened big eyes for reasons such as amazement, astonishment and anger")</f>
        <v>Being opened big eyes for reasons such as amazement, astonishment and anger</v>
      </c>
    </row>
    <row r="418" spans="1:3" ht="14.25" customHeight="1" x14ac:dyDescent="0.3">
      <c r="A418" s="3" t="s">
        <v>831</v>
      </c>
      <c r="B418" s="6" t="s">
        <v>832</v>
      </c>
      <c r="C418" s="5" t="str">
        <f ca="1">IFERROR(__xludf.DUMMYFUNCTION("GOOGLETRANSLATE(B418, ""tr"", ""en"" )"),"Insomnia, crying, anger, or the escape of something, the eyes are too fried")</f>
        <v>Insomnia, crying, anger, or the escape of something, the eyes are too fried</v>
      </c>
    </row>
    <row r="419" spans="1:3" ht="14.25" customHeight="1" x14ac:dyDescent="0.3">
      <c r="A419" s="3" t="s">
        <v>833</v>
      </c>
      <c r="B419" s="6" t="s">
        <v>834</v>
      </c>
      <c r="C419" s="5" t="str">
        <f ca="1">IFERROR(__xludf.DUMMYFUNCTION("GOOGLETRANSLATE(B419, ""tr"", ""en"" )"),"To be very angry, hatred; come to every evil")</f>
        <v>To be very angry, hatred; come to every evil</v>
      </c>
    </row>
    <row r="420" spans="1:3" ht="14.25" customHeight="1" x14ac:dyDescent="0.3">
      <c r="A420" s="3" t="s">
        <v>835</v>
      </c>
      <c r="B420" s="6" t="s">
        <v>836</v>
      </c>
      <c r="C420" s="5" t="str">
        <f ca="1">IFERROR(__xludf.DUMMYFUNCTION("GOOGLETRANSLATE(B420, ""tr"", ""en"" )"),"To show you very happy with your eyes and because")</f>
        <v>To show you very happy with your eyes and because</v>
      </c>
    </row>
    <row r="421" spans="1:3" ht="14.25" customHeight="1" x14ac:dyDescent="0.3">
      <c r="A421" s="3" t="s">
        <v>837</v>
      </c>
      <c r="B421" s="6" t="s">
        <v>838</v>
      </c>
      <c r="C421" s="5" t="str">
        <f ca="1">IFERROR(__xludf.DUMMYFUNCTION("GOOGLETRANSLATE(B421, ""tr"", ""en"" )"),"Long -stand")</f>
        <v>Long -stand</v>
      </c>
    </row>
    <row r="422" spans="1:3" ht="14.25" customHeight="1" x14ac:dyDescent="0.3">
      <c r="A422" s="3" t="s">
        <v>839</v>
      </c>
      <c r="B422" s="6" t="s">
        <v>840</v>
      </c>
      <c r="C422" s="5" t="str">
        <f ca="1">IFERROR(__xludf.DUMMYFUNCTION("GOOGLETRANSLATE(B422, ""tr"", ""en"" )"),"Trying not to show, without turning the head to look at the side of the eye")</f>
        <v>Trying not to show, without turning the head to look at the side of the eye</v>
      </c>
    </row>
    <row r="423" spans="1:3" ht="14.25" customHeight="1" x14ac:dyDescent="0.3">
      <c r="A423" s="3" t="s">
        <v>841</v>
      </c>
      <c r="B423" s="6" t="s">
        <v>842</v>
      </c>
      <c r="C423" s="5" t="str">
        <f ca="1">IFERROR(__xludf.DUMMYFUNCTION("GOOGLETRANSLATE(B423, ""tr"", ""en"" )"),"Awake, cunning, well -looking at his interests, resourceful, clever")</f>
        <v>Awake, cunning, well -looking at his interests, resourceful, clever</v>
      </c>
    </row>
    <row r="424" spans="1:3" ht="14.25" customHeight="1" x14ac:dyDescent="0.3">
      <c r="A424" s="3" t="s">
        <v>843</v>
      </c>
      <c r="B424" s="6" t="s">
        <v>844</v>
      </c>
      <c r="C424" s="5" t="str">
        <f ca="1">IFERROR(__xludf.DUMMYFUNCTION("GOOGLETRANSLATE(B424, ""tr"", ""en"" )"),"Dying before you get what he wants")</f>
        <v>Dying before you get what he wants</v>
      </c>
    </row>
    <row r="425" spans="1:3" ht="14.25" customHeight="1" x14ac:dyDescent="0.3">
      <c r="A425" s="3" t="s">
        <v>845</v>
      </c>
      <c r="B425" s="6" t="s">
        <v>846</v>
      </c>
      <c r="C425" s="5" t="str">
        <f ca="1">IFERROR(__xludf.DUMMYFUNCTION("GOOGLETRANSLATE(B425, ""tr"", ""en"" )"),"To distinguish the useful, the good and the good")</f>
        <v>To distinguish the useful, the good and the good</v>
      </c>
    </row>
    <row r="426" spans="1:3" ht="14.25" customHeight="1" x14ac:dyDescent="0.3">
      <c r="A426" s="3" t="s">
        <v>847</v>
      </c>
      <c r="B426" s="6" t="s">
        <v>848</v>
      </c>
      <c r="C426" s="5" t="str">
        <f ca="1">IFERROR(__xludf.DUMMYFUNCTION("GOOGLETRANSLATE(B426, ""tr"", ""en"" )"),"After leaving, to drive the uneasiness about what he left or anyone, to worry")</f>
        <v>After leaving, to drive the uneasiness about what he left or anyone, to worry</v>
      </c>
    </row>
    <row r="427" spans="1:3" ht="14.25" customHeight="1" x14ac:dyDescent="0.3">
      <c r="A427" s="3" t="s">
        <v>849</v>
      </c>
      <c r="B427" s="6" t="s">
        <v>850</v>
      </c>
      <c r="C427" s="5" t="str">
        <f ca="1">IFERROR(__xludf.DUMMYFUNCTION("GOOGLETRANSLATE(B427, ""tr"", ""en"" )"),"To be extremely interested in something, to protect and protect it, to keep it carefully")</f>
        <v>To be extremely interested in something, to protect and protect it, to keep it carefully</v>
      </c>
    </row>
    <row r="428" spans="1:3" ht="14.25" customHeight="1" x14ac:dyDescent="0.3">
      <c r="A428" s="3" t="s">
        <v>851</v>
      </c>
      <c r="B428" s="6" t="s">
        <v>852</v>
      </c>
      <c r="C428" s="5" t="str">
        <f ca="1">IFERROR(__xludf.DUMMYFUNCTION("GOOGLETRANSLATE(B428, ""tr"", ""en"" )"),"To be able to deal with excitement, anger, or a job where he cares about, to be able to deal with anything else")</f>
        <v>To be able to deal with excitement, anger, or a job where he cares about, to be able to deal with anything else</v>
      </c>
    </row>
    <row r="429" spans="1:3" ht="14.25" customHeight="1" x14ac:dyDescent="0.3">
      <c r="A429" s="3" t="s">
        <v>853</v>
      </c>
      <c r="B429" s="6" t="s">
        <v>854</v>
      </c>
      <c r="C429" s="5" t="str">
        <f ca="1">IFERROR(__xludf.DUMMYFUNCTION("GOOGLETRANSLATE(B429, ""tr"", ""en"" )"),"Being like knowing someone")</f>
        <v>Being like knowing someone</v>
      </c>
    </row>
    <row r="430" spans="1:3" ht="14.25" customHeight="1" x14ac:dyDescent="0.3">
      <c r="A430" s="3" t="s">
        <v>855</v>
      </c>
      <c r="B430" s="6" t="s">
        <v>856</v>
      </c>
      <c r="C430" s="5" t="str">
        <f ca="1">IFERROR(__xludf.DUMMYFUNCTION("GOOGLETRANSLATE(B430, ""tr"", ""en"" )"),"Brave, attack, fearless, dangerous things without hesitation")</f>
        <v>Brave, attack, fearless, dangerous things without hesitation</v>
      </c>
    </row>
    <row r="431" spans="1:3" ht="14.25" customHeight="1" x14ac:dyDescent="0.3">
      <c r="A431" s="3" t="s">
        <v>857</v>
      </c>
      <c r="B431" s="6" t="s">
        <v>857</v>
      </c>
      <c r="C431" s="5" t="str">
        <f ca="1">IFERROR(__xludf.DUMMYFUNCTION("GOOGLETRANSLATE(B431, ""tr"", ""en"" )"),"Grow in the eyes")</f>
        <v>Grow in the eyes</v>
      </c>
    </row>
    <row r="432" spans="1:3" ht="14.25" customHeight="1" x14ac:dyDescent="0.3">
      <c r="A432" s="3" t="s">
        <v>858</v>
      </c>
      <c r="B432" s="6" t="s">
        <v>859</v>
      </c>
      <c r="C432" s="5" t="str">
        <f ca="1">IFERROR(__xludf.DUMMYFUNCTION("GOOGLETRANSLATE(B432, ""tr"", ""en"" )"),"To gain someone's love and attention")</f>
        <v>To gain someone's love and attention</v>
      </c>
    </row>
    <row r="433" spans="1:3" ht="14.25" customHeight="1" x14ac:dyDescent="0.3">
      <c r="A433" s="3" t="s">
        <v>860</v>
      </c>
      <c r="B433" s="6" t="s">
        <v>861</v>
      </c>
      <c r="C433" s="5" t="str">
        <f ca="1">IFERROR(__xludf.DUMMYFUNCTION("GOOGLETRANSLATE(B433, ""tr"", ""en"" )"),"Not to hesitate to engage in dangerous jobs")</f>
        <v>Not to hesitate to engage in dangerous jobs</v>
      </c>
    </row>
    <row r="434" spans="1:3" ht="14.25" customHeight="1" x14ac:dyDescent="0.3">
      <c r="A434" s="3" t="s">
        <v>862</v>
      </c>
      <c r="B434" s="6" t="s">
        <v>863</v>
      </c>
      <c r="C434" s="5" t="str">
        <f ca="1">IFERROR(__xludf.DUMMYFUNCTION("GOOGLETRANSLATE(B434, ""tr"", ""en"" )"),"Being very careful not to fall into a trick, not to be fooled")</f>
        <v>Being very careful not to fall into a trick, not to be fooled</v>
      </c>
    </row>
    <row r="435" spans="1:3" ht="14.25" customHeight="1" x14ac:dyDescent="0.3">
      <c r="A435" s="3" t="s">
        <v>864</v>
      </c>
      <c r="B435" s="6" t="s">
        <v>865</v>
      </c>
      <c r="C435" s="5" t="str">
        <f ca="1">IFERROR(__xludf.DUMMYFUNCTION("GOOGLETRANSLATE(B435, ""tr"", ""en"" )"),"Getting angry enough to kill someone")</f>
        <v>Getting angry enough to kill someone</v>
      </c>
    </row>
    <row r="436" spans="1:3" ht="14.25" customHeight="1" x14ac:dyDescent="0.3">
      <c r="A436" s="3" t="s">
        <v>866</v>
      </c>
      <c r="B436" s="6" t="s">
        <v>867</v>
      </c>
      <c r="C436" s="5" t="str">
        <f ca="1">IFERROR(__xludf.DUMMYFUNCTION("GOOGLETRANSLATE(B436, ""tr"", ""en"" )"),"Intimidation")</f>
        <v>Intimidation</v>
      </c>
    </row>
    <row r="437" spans="1:3" ht="14.25" customHeight="1" x14ac:dyDescent="0.3">
      <c r="A437" s="3" t="s">
        <v>868</v>
      </c>
      <c r="B437" s="6" t="s">
        <v>869</v>
      </c>
      <c r="C437" s="5" t="str">
        <f ca="1">IFERROR(__xludf.DUMMYFUNCTION("GOOGLETRANSLATE(B437, ""tr"", ""en"" )"),"Not to forget, to be like seeing at any moment")</f>
        <v>Not to forget, to be like seeing at any moment</v>
      </c>
    </row>
    <row r="438" spans="1:3" ht="14.25" customHeight="1" x14ac:dyDescent="0.3">
      <c r="A438" s="3" t="s">
        <v>870</v>
      </c>
      <c r="B438" s="6" t="s">
        <v>871</v>
      </c>
      <c r="C438" s="5" t="str">
        <f ca="1">IFERROR(__xludf.DUMMYFUNCTION("GOOGLETRANSLATE(B438, ""tr"", ""en"" )"),"Not to pity, not to have mercy")</f>
        <v>Not to pity, not to have mercy</v>
      </c>
    </row>
    <row r="439" spans="1:3" ht="14.25" customHeight="1" x14ac:dyDescent="0.3">
      <c r="A439" s="3" t="s">
        <v>872</v>
      </c>
      <c r="B439" s="6" t="s">
        <v>873</v>
      </c>
      <c r="C439" s="5" t="str">
        <f ca="1">IFERROR(__xludf.DUMMYFUNCTION("GOOGLETRANSLATE(B439, ""tr"", ""en"" )"),"Fearless, Atılgan, Brave, Dangerous")</f>
        <v>Fearless, Atılgan, Brave, Dangerous</v>
      </c>
    </row>
    <row r="440" spans="1:3" ht="14.25" customHeight="1" x14ac:dyDescent="0.3">
      <c r="A440" s="3" t="s">
        <v>874</v>
      </c>
      <c r="B440" s="6" t="s">
        <v>875</v>
      </c>
      <c r="C440" s="5" t="str">
        <f ca="1">IFERROR(__xludf.DUMMYFUNCTION("GOOGLETRANSLATE(B440, ""tr"", ""en"" )"),"The smallest joy or sadness immediately crying, not having tears")</f>
        <v>The smallest joy or sadness immediately crying, not having tears</v>
      </c>
    </row>
    <row r="441" spans="1:3" ht="14.25" customHeight="1" x14ac:dyDescent="0.3">
      <c r="A441" s="3" t="s">
        <v>876</v>
      </c>
      <c r="B441" s="6" t="s">
        <v>877</v>
      </c>
      <c r="C441" s="5" t="str">
        <f ca="1">IFERROR(__xludf.DUMMYFUNCTION("GOOGLETRANSLATE(B441, ""tr"", ""en"" )"),"Without the possibilities in hand, generous, not fond of goods or money, generous")</f>
        <v>Without the possibilities in hand, generous, not fond of goods or money, generous</v>
      </c>
    </row>
    <row r="442" spans="1:3" ht="14.25" customHeight="1" x14ac:dyDescent="0.3">
      <c r="A442" s="3" t="s">
        <v>878</v>
      </c>
      <c r="B442" s="6" t="s">
        <v>879</v>
      </c>
      <c r="C442" s="5" t="str">
        <f ca="1">IFERROR(__xludf.DUMMYFUNCTION("GOOGLETRANSLATE(B442, ""tr"", ""en"" )"),"Trust, like")</f>
        <v>Trust, like</v>
      </c>
    </row>
    <row r="443" spans="1:3" ht="14.25" customHeight="1" x14ac:dyDescent="0.3">
      <c r="A443" s="3" t="s">
        <v>880</v>
      </c>
      <c r="B443" s="6" t="s">
        <v>881</v>
      </c>
      <c r="C443" s="5" t="str">
        <f ca="1">IFERROR(__xludf.DUMMYFUNCTION("GOOGLETRANSLATE(B443, ""tr"", ""en"" )"),"To welcome your misdemeanors, flaws, ignore, donate")</f>
        <v>To welcome your misdemeanors, flaws, ignore, donate</v>
      </c>
    </row>
    <row r="444" spans="1:3" ht="14.25" customHeight="1" x14ac:dyDescent="0.3">
      <c r="A444" s="3" t="s">
        <v>882</v>
      </c>
      <c r="B444" s="7" t="s">
        <v>883</v>
      </c>
      <c r="C444" s="5" t="str">
        <f ca="1">IFERROR(__xludf.DUMMYFUNCTION("GOOGLETRANSLATE(B444, ""tr"", ""en"" )"),"Not tolerate, not forgive")</f>
        <v>Not tolerate, not forgive</v>
      </c>
    </row>
    <row r="445" spans="1:3" ht="14.25" customHeight="1" x14ac:dyDescent="0.3">
      <c r="A445" s="3" t="s">
        <v>884</v>
      </c>
      <c r="B445" s="6" t="s">
        <v>885</v>
      </c>
      <c r="C445" s="5" t="str">
        <f ca="1">IFERROR(__xludf.DUMMYFUNCTION("GOOGLETRANSLATE(B445, ""tr"", ""en"" )"),"To touched someone by praising someone against his face, saying his skills")</f>
        <v>To touched someone by praising someone against his face, saying his skills</v>
      </c>
    </row>
    <row r="446" spans="1:3" ht="14.25" customHeight="1" x14ac:dyDescent="0.3">
      <c r="A446" s="3" t="s">
        <v>886</v>
      </c>
      <c r="B446" s="6" t="s">
        <v>887</v>
      </c>
      <c r="C446" s="5" t="str">
        <f ca="1">IFERROR(__xludf.DUMMYFUNCTION("GOOGLETRANSLATE(B446, ""tr"", ""en"" )"),"A word, a behavior is to touch the honor of a person, to be heavy for anyone")</f>
        <v>A word, a behavior is to touch the honor of a person, to be heavy for anyone</v>
      </c>
    </row>
    <row r="447" spans="1:3" ht="14.25" customHeight="1" x14ac:dyDescent="0.3">
      <c r="A447" s="3" t="s">
        <v>888</v>
      </c>
      <c r="B447" s="6" t="s">
        <v>889</v>
      </c>
      <c r="C447" s="5" t="str">
        <f ca="1">IFERROR(__xludf.DUMMYFUNCTION("GOOGLETRANSLATE(B447, ""tr"", ""en"" )"),"Without problems; joy, abundance and peaceful place")</f>
        <v>Without problems; joy, abundance and peaceful place</v>
      </c>
    </row>
    <row r="448" spans="1:3" ht="14.25" customHeight="1" x14ac:dyDescent="0.3">
      <c r="A448" s="3" t="s">
        <v>890</v>
      </c>
      <c r="B448" s="6" t="s">
        <v>891</v>
      </c>
      <c r="C448" s="5" t="str">
        <f ca="1">IFERROR(__xludf.DUMMYFUNCTION("GOOGLETRANSLATE(B448, ""tr"", ""en"" )"),"Very stingy, tight hand")</f>
        <v>Very stingy, tight hand</v>
      </c>
    </row>
    <row r="449" spans="1:3" ht="14.25" customHeight="1" x14ac:dyDescent="0.3">
      <c r="A449" s="3" t="s">
        <v>892</v>
      </c>
      <c r="B449" s="6" t="s">
        <v>893</v>
      </c>
      <c r="C449" s="5" t="str">
        <f ca="1">IFERROR(__xludf.DUMMYFUNCTION("GOOGLETRANSLATE(B449, ""tr"", ""en"" )"),"Spending peaceful days in abundance, happiness, well -being")</f>
        <v>Spending peaceful days in abundance, happiness, well -being</v>
      </c>
    </row>
    <row r="450" spans="1:3" ht="14.25" customHeight="1" x14ac:dyDescent="0.3">
      <c r="A450" s="3" t="s">
        <v>894</v>
      </c>
      <c r="B450" s="6" t="s">
        <v>895</v>
      </c>
      <c r="C450" s="5" t="str">
        <f ca="1">IFERROR(__xludf.DUMMYFUNCTION("GOOGLETRANSLATE(B450, ""tr"", ""en"" )"),"Many things have passed from the beginning, experienced, saw and spent, lived a lot")</f>
        <v>Many things have passed from the beginning, experienced, saw and spent, lived a lot</v>
      </c>
    </row>
    <row r="451" spans="1:3" ht="14.25" customHeight="1" x14ac:dyDescent="0.3">
      <c r="A451" s="3" t="s">
        <v>896</v>
      </c>
      <c r="B451" s="6" t="s">
        <v>897</v>
      </c>
      <c r="C451" s="5" t="str">
        <f ca="1">IFERROR(__xludf.DUMMYFUNCTION("GOOGLETRANSLATE(B451, ""tr"", ""en"" )"),"To be enlightened, to be clarified, to be understandable")</f>
        <v>To be enlightened, to be clarified, to be understandable</v>
      </c>
    </row>
    <row r="452" spans="1:3" ht="14.25" customHeight="1" x14ac:dyDescent="0.3">
      <c r="A452" s="3" t="s">
        <v>898</v>
      </c>
      <c r="B452" s="6" t="s">
        <v>899</v>
      </c>
      <c r="C452" s="5" t="str">
        <f ca="1">IFERROR(__xludf.DUMMYFUNCTION("GOOGLETRANSLATE(B452, ""tr"", ""en"" )"),"Evaluating the opportunities you get, spending a good time")</f>
        <v>Evaluating the opportunities you get, spending a good time</v>
      </c>
    </row>
    <row r="453" spans="1:3" ht="14.25" customHeight="1" x14ac:dyDescent="0.3">
      <c r="A453" s="3" t="s">
        <v>900</v>
      </c>
      <c r="B453" s="6" t="s">
        <v>901</v>
      </c>
      <c r="C453" s="5" t="str">
        <f ca="1">IFERROR(__xludf.DUMMYFUNCTION("GOOGLETRANSLATE(B453, ""tr"", ""en"" )"),"Not being able to get help from the people he trusts, to be understood that something he trusts does not work")</f>
        <v>Not being able to get help from the people he trusts, to be understood that something he trusts does not work</v>
      </c>
    </row>
    <row r="454" spans="1:3" ht="14.25" customHeight="1" x14ac:dyDescent="0.3">
      <c r="A454" s="3" t="s">
        <v>902</v>
      </c>
      <c r="B454" s="6" t="s">
        <v>903</v>
      </c>
      <c r="C454" s="5" t="str">
        <f ca="1">IFERROR(__xludf.DUMMYFUNCTION("GOOGLETRANSLATE(B454, ""tr"", ""en"" )"),"To awaken the feeling that he is a reliable person and can be relied on.")</f>
        <v>To awaken the feeling that he is a reliable person and can be relied on.</v>
      </c>
    </row>
    <row r="455" spans="1:3" ht="14.25" customHeight="1" x14ac:dyDescent="0.3">
      <c r="A455" s="3" t="s">
        <v>904</v>
      </c>
      <c r="B455" s="6" t="s">
        <v>905</v>
      </c>
      <c r="C455" s="5" t="str">
        <f ca="1">IFERROR(__xludf.DUMMYFUNCTION("GOOGLETRANSLATE(B455, ""tr"", ""en"" )"),"Quickly sending news")</f>
        <v>Quickly sending news</v>
      </c>
    </row>
    <row r="456" spans="1:3" ht="14.25" customHeight="1" x14ac:dyDescent="0.3">
      <c r="A456" s="3" t="s">
        <v>906</v>
      </c>
      <c r="B456" s="6" t="s">
        <v>907</v>
      </c>
      <c r="C456" s="5" t="str">
        <f ca="1">IFERROR(__xludf.DUMMYFUNCTION("GOOGLETRANSLATE(B456, ""tr"", ""en"" )"),"Not to be required, not to be required")</f>
        <v>Not to be required, not to be required</v>
      </c>
    </row>
    <row r="457" spans="1:3" ht="14.25" customHeight="1" x14ac:dyDescent="0.3">
      <c r="A457" s="3" t="s">
        <v>908</v>
      </c>
      <c r="B457" s="6" t="s">
        <v>909</v>
      </c>
      <c r="C457" s="5" t="str">
        <f ca="1">IFERROR(__xludf.DUMMYFUNCTION("GOOGLETRANSLATE(B457, ""tr"", ""en"" )"),"to punish, bring, to the road, to report the limit of authority")</f>
        <v>to punish, bring, to the road, to report the limit of authority</v>
      </c>
    </row>
    <row r="458" spans="1:3" ht="14.25" customHeight="1" x14ac:dyDescent="0.3">
      <c r="A458" s="3" t="s">
        <v>910</v>
      </c>
      <c r="B458" s="6" t="s">
        <v>911</v>
      </c>
      <c r="C458" s="5" t="str">
        <f ca="1">IFERROR(__xludf.DUMMYFUNCTION("GOOGLETRANSLATE(B458, ""tr"", ""en"" )"),"To underestimate, not to care about")</f>
        <v>To underestimate, not to care about</v>
      </c>
    </row>
    <row r="459" spans="1:3" ht="14.25" customHeight="1" x14ac:dyDescent="0.3">
      <c r="A459" s="3" t="s">
        <v>912</v>
      </c>
      <c r="B459" s="6" t="s">
        <v>913</v>
      </c>
      <c r="C459" s="5" t="str">
        <f ca="1">IFERROR(__xludf.DUMMYFUNCTION("GOOGLETRANSLATE(B459, ""tr"", ""en"" )")," To have someone else's share of someone")</f>
        <v xml:space="preserve"> To have someone else's share of someone</v>
      </c>
    </row>
    <row r="460" spans="1:3" ht="14.25" customHeight="1" x14ac:dyDescent="0.3">
      <c r="A460" s="3" t="s">
        <v>914</v>
      </c>
      <c r="B460" s="6" t="s">
        <v>915</v>
      </c>
      <c r="C460" s="5" t="str">
        <f ca="1">IFERROR(__xludf.DUMMYFUNCTION("GOOGLETRANSLATE(B460, ""tr"", ""en"" )"),"Power to conclude a job with success")</f>
        <v>Power to conclude a job with success</v>
      </c>
    </row>
    <row r="461" spans="1:3" ht="14.25" customHeight="1" x14ac:dyDescent="0.3">
      <c r="A461" s="3" t="s">
        <v>916</v>
      </c>
      <c r="B461" s="6" t="s">
        <v>917</v>
      </c>
      <c r="C461" s="5" t="str">
        <f ca="1">IFERROR(__xludf.DUMMYFUNCTION("GOOGLETRANSLATE(B461, ""tr"", ""en"" )"),"Not to avoid whatever it takes to do something worthy")</f>
        <v>Not to avoid whatever it takes to do something worthy</v>
      </c>
    </row>
    <row r="462" spans="1:3" ht="14.25" customHeight="1" x14ac:dyDescent="0.3">
      <c r="A462" s="3" t="s">
        <v>918</v>
      </c>
      <c r="B462" s="6" t="s">
        <v>919</v>
      </c>
      <c r="C462" s="5" t="str">
        <f ca="1">IFERROR(__xludf.DUMMYFUNCTION("GOOGLETRANSLATE(B462, ""tr"", ""en"" )"),"Not giving someone the right to give him to him")</f>
        <v>Not giving someone the right to give him to him</v>
      </c>
    </row>
    <row r="463" spans="1:3" ht="14.25" customHeight="1" x14ac:dyDescent="0.3">
      <c r="A463" s="3" t="s">
        <v>920</v>
      </c>
      <c r="B463" s="6" t="s">
        <v>921</v>
      </c>
      <c r="C463" s="5" t="str">
        <f ca="1">IFERROR(__xludf.DUMMYFUNCTION("GOOGLETRANSLATE(B463, ""tr"", ""en"" )"),"Organizing, organizing, bringing good work into a situation")</f>
        <v>Organizing, organizing, bringing good work into a situation</v>
      </c>
    </row>
    <row r="464" spans="1:3" ht="14.25" customHeight="1" x14ac:dyDescent="0.3">
      <c r="A464" s="3" t="s">
        <v>922</v>
      </c>
      <c r="B464" s="6" t="s">
        <v>923</v>
      </c>
      <c r="C464" s="5" t="str">
        <f ca="1">IFERROR(__xludf.DUMMYFUNCTION("GOOGLETRANSLATE(B464, ""tr"", ""en"" )"),"Rich, very wealthy, good money situation")</f>
        <v>Rich, very wealthy, good money situation</v>
      </c>
    </row>
    <row r="465" spans="1:3" ht="14.25" customHeight="1" x14ac:dyDescent="0.3">
      <c r="A465" s="3" t="s">
        <v>924</v>
      </c>
      <c r="B465" s="6" t="s">
        <v>925</v>
      </c>
      <c r="C465" s="5" t="str">
        <f ca="1">IFERROR(__xludf.DUMMYFUNCTION("GOOGLETRANSLATE(B465, ""tr"", ""en"" )"),"He does not comply with his own advice")</f>
        <v>He does not comply with his own advice</v>
      </c>
    </row>
    <row r="466" spans="1:3" ht="14.25" customHeight="1" x14ac:dyDescent="0.3">
      <c r="A466" s="3" t="s">
        <v>926</v>
      </c>
      <c r="B466" s="6" t="s">
        <v>927</v>
      </c>
      <c r="C466" s="5" t="str">
        <f ca="1">IFERROR(__xludf.DUMMYFUNCTION("GOOGLETRANSLATE(B466, ""tr"", ""en"" )"),"When a positive behavior of a person who is never expected and unexpected")</f>
        <v>When a positive behavior of a person who is never expected and unexpected</v>
      </c>
    </row>
    <row r="467" spans="1:3" ht="14.25" customHeight="1" x14ac:dyDescent="0.3">
      <c r="A467" s="3" t="s">
        <v>928</v>
      </c>
      <c r="B467" s="6" t="s">
        <v>929</v>
      </c>
      <c r="C467" s="5" t="str">
        <f ca="1">IFERROR(__xludf.DUMMYFUNCTION("GOOGLETRANSLATE(B467, ""tr"", ""en"" )"),"Used for a person who does not appear somewhere for a long time")</f>
        <v>Used for a person who does not appear somewhere for a long time</v>
      </c>
    </row>
    <row r="468" spans="1:3" ht="14.25" customHeight="1" x14ac:dyDescent="0.3">
      <c r="A468" s="3" t="s">
        <v>930</v>
      </c>
      <c r="B468" s="6" t="s">
        <v>931</v>
      </c>
      <c r="C468" s="5" t="str">
        <f ca="1">IFERROR(__xludf.DUMMYFUNCTION("GOOGLETRANSLATE(B468, ""tr"", ""en"" )"),"He has a finger in almost every job")</f>
        <v>He has a finger in almost every job</v>
      </c>
    </row>
    <row r="469" spans="1:3" ht="14.25" customHeight="1" x14ac:dyDescent="0.3">
      <c r="A469" s="3" t="s">
        <v>932</v>
      </c>
      <c r="B469" s="6" t="s">
        <v>933</v>
      </c>
      <c r="C469" s="5" t="str">
        <f ca="1">IFERROR(__xludf.DUMMYFUNCTION("GOOGLETRANSLATE(B469, ""tr"", ""en"" )"),"NAZLI MORE GROUNDED, NON -HAVE, CRUSHING NO")</f>
        <v>NAZLI MORE GROUNDED, NON -HAVE, CRUSHING NO</v>
      </c>
    </row>
    <row r="470" spans="1:3" ht="14.25" customHeight="1" x14ac:dyDescent="0.3">
      <c r="A470" s="3" t="s">
        <v>934</v>
      </c>
      <c r="B470" s="6" t="s">
        <v>935</v>
      </c>
      <c r="C470" s="5" t="str">
        <f ca="1">IFERROR(__xludf.DUMMYFUNCTION("GOOGLETRANSLATE(B470, ""tr"", ""en"" )"),"Falling into a bad situation, harm and loss")</f>
        <v>Falling into a bad situation, harm and loss</v>
      </c>
    </row>
    <row r="471" spans="1:3" ht="14.25" customHeight="1" x14ac:dyDescent="0.3">
      <c r="A471" s="3" t="s">
        <v>936</v>
      </c>
      <c r="B471" s="6" t="s">
        <v>937</v>
      </c>
      <c r="C471" s="5" t="str">
        <f ca="1">IFERROR(__xludf.DUMMYFUNCTION("GOOGLETRANSLATE(B471, ""tr"", ""en"" )"),"Being unable to take advantage of something")</f>
        <v>Being unable to take advantage of something</v>
      </c>
    </row>
    <row r="472" spans="1:3" ht="14.25" customHeight="1" x14ac:dyDescent="0.3">
      <c r="A472" s="3" t="s">
        <v>938</v>
      </c>
      <c r="B472" s="6" t="s">
        <v>939</v>
      </c>
      <c r="C472" s="5" t="str">
        <f ca="1">IFERROR(__xludf.DUMMYFUNCTION("GOOGLETRANSLATE(B472, ""tr"", ""en"" )"),"Tastam, appropriate, exactly, as in reality")</f>
        <v>Tastam, appropriate, exactly, as in reality</v>
      </c>
    </row>
    <row r="473" spans="1:3" ht="14.25" customHeight="1" x14ac:dyDescent="0.3">
      <c r="A473" s="3" t="s">
        <v>940</v>
      </c>
      <c r="B473" s="6" t="s">
        <v>941</v>
      </c>
      <c r="C473" s="5" t="str">
        <f ca="1">IFERROR(__xludf.DUMMYFUNCTION("GOOGLETRANSLATE(B473, ""tr"", ""en"" )"),"To spend without accountless, thoughtlessly; to consume and consume your property, money")</f>
        <v>To spend without accountless, thoughtlessly; to consume and consume your property, money</v>
      </c>
    </row>
    <row r="474" spans="1:3" ht="14.25" customHeight="1" x14ac:dyDescent="0.3">
      <c r="A474" s="3" t="s">
        <v>942</v>
      </c>
      <c r="B474" s="6" t="s">
        <v>943</v>
      </c>
      <c r="C474" s="5" t="str">
        <f ca="1">IFERROR(__xludf.DUMMYFUNCTION("GOOGLETRANSLATE(B474, ""tr"", ""en"" )"),"Be very fond of something")</f>
        <v>Be very fond of something</v>
      </c>
    </row>
    <row r="475" spans="1:3" ht="14.25" customHeight="1" x14ac:dyDescent="0.3">
      <c r="A475" s="3" t="s">
        <v>944</v>
      </c>
      <c r="B475" s="6" t="s">
        <v>945</v>
      </c>
      <c r="C475" s="5" t="str">
        <f ca="1">IFERROR(__xludf.DUMMYFUNCTION("GOOGLETRANSLATE(B475, ""tr"", ""en"" )"),"To be offended, to break")</f>
        <v>To be offended, to break</v>
      </c>
    </row>
    <row r="476" spans="1:3" ht="14.25" customHeight="1" x14ac:dyDescent="0.3">
      <c r="A476" s="3" t="s">
        <v>946</v>
      </c>
      <c r="B476" s="6" t="s">
        <v>947</v>
      </c>
      <c r="C476" s="5" t="str">
        <f ca="1">IFERROR(__xludf.DUMMYFUNCTION("GOOGLETRANSLATE(B476, ""tr"", ""en"" )"),"To be grown, to be arrogant, to try to look more than it is")</f>
        <v>To be grown, to be arrogant, to try to look more than it is</v>
      </c>
    </row>
    <row r="477" spans="1:3" ht="14.25" customHeight="1" x14ac:dyDescent="0.3">
      <c r="A477" s="3" t="s">
        <v>948</v>
      </c>
      <c r="B477" s="6" t="s">
        <v>949</v>
      </c>
      <c r="C477" s="5" t="str">
        <f ca="1">IFERROR(__xludf.DUMMYFUNCTION("GOOGLETRANSLATE(B477, ""tr"", ""en"" )"),"Not being able to conclude, a claim, not to prove it because it is unspoiled")</f>
        <v>Not being able to conclude, a claim, not to prove it because it is unspoiled</v>
      </c>
    </row>
    <row r="478" spans="1:3" ht="14.25" customHeight="1" x14ac:dyDescent="0.3">
      <c r="A478" s="3" t="s">
        <v>950</v>
      </c>
      <c r="B478" s="6" t="s">
        <v>951</v>
      </c>
      <c r="C478" s="5" t="str">
        <f ca="1">IFERROR(__xludf.DUMMYFUNCTION("GOOGLETRANSLATE(B478, ""tr"", ""en"" )"),"So, randomly talking randomly")</f>
        <v>So, randomly talking randomly</v>
      </c>
    </row>
    <row r="479" spans="1:3" ht="14.25" customHeight="1" x14ac:dyDescent="0.3">
      <c r="A479" s="3" t="s">
        <v>952</v>
      </c>
      <c r="B479" s="6" t="s">
        <v>953</v>
      </c>
      <c r="C479" s="5" t="str">
        <f ca="1">IFERROR(__xludf.DUMMYFUNCTION("GOOGLETRANSLATE(B479, ""tr"", ""en"" )"),"There is no difference between being or that way")</f>
        <v>There is no difference between being or that way</v>
      </c>
    </row>
    <row r="480" spans="1:3" ht="14.25" customHeight="1" x14ac:dyDescent="0.3">
      <c r="A480" s="3" t="s">
        <v>954</v>
      </c>
      <c r="B480" s="6" t="s">
        <v>955</v>
      </c>
      <c r="C480" s="5" t="str">
        <f ca="1">IFERROR(__xludf.DUMMYFUNCTION("GOOGLETRANSLATE(B480, ""tr"", ""en"" )"),"Have a job in vain")</f>
        <v>Have a job in vain</v>
      </c>
    </row>
    <row r="481" spans="1:3" ht="14.25" customHeight="1" x14ac:dyDescent="0.3">
      <c r="A481" s="3" t="s">
        <v>956</v>
      </c>
      <c r="B481" s="6" t="s">
        <v>957</v>
      </c>
      <c r="C481" s="5" t="str">
        <f ca="1">IFERROR(__xludf.DUMMYFUNCTION("GOOGLETRANSLATE(B481, ""tr"", ""en"" )"),"Working and making a living with the money he gets")</f>
        <v>Working and making a living with the money he gets</v>
      </c>
    </row>
    <row r="482" spans="1:3" ht="14.25" customHeight="1" x14ac:dyDescent="0.3">
      <c r="A482" s="3" t="s">
        <v>958</v>
      </c>
      <c r="B482" s="6" t="s">
        <v>959</v>
      </c>
      <c r="C482" s="5" t="str">
        <f ca="1">IFERROR(__xludf.DUMMYFUNCTION("GOOGLETRANSLATE(B482, ""tr"", ""en"" )"),"The result is a very dangerous, death -smelling situation")</f>
        <v>The result is a very dangerous, death -smelling situation</v>
      </c>
    </row>
    <row r="483" spans="1:3" ht="14.25" customHeight="1" x14ac:dyDescent="0.3">
      <c r="A483" s="3" t="s">
        <v>960</v>
      </c>
      <c r="B483" s="6" t="s">
        <v>961</v>
      </c>
      <c r="C483" s="5" t="str">
        <f ca="1">IFERROR(__xludf.DUMMYFUNCTION("GOOGLETRANSLATE(B483, ""tr"", ""en"" )"),"To take advantage of what has emerged by the labor of someone else without any effort, without effort")</f>
        <v>To take advantage of what has emerged by the labor of someone else without any effort, without effort</v>
      </c>
    </row>
    <row r="484" spans="1:3" ht="14.25" customHeight="1" x14ac:dyDescent="0.3">
      <c r="A484" s="3" t="s">
        <v>962</v>
      </c>
      <c r="B484" s="6" t="s">
        <v>963</v>
      </c>
      <c r="C484" s="5" t="str">
        <f ca="1">IFERROR(__xludf.DUMMYFUNCTION("GOOGLETRANSLATE(B484, ""tr"", ""en"" )"),"A good -natured, clean person who does not deviate from the right path")</f>
        <v>A good -natured, clean person who does not deviate from the right path</v>
      </c>
    </row>
    <row r="485" spans="1:3" ht="14.25" customHeight="1" x14ac:dyDescent="0.3">
      <c r="A485" s="3" t="s">
        <v>964</v>
      </c>
      <c r="B485" s="6" t="s">
        <v>965</v>
      </c>
      <c r="C485" s="5" t="str">
        <f ca="1">IFERROR(__xludf.DUMMYFUNCTION("GOOGLETRANSLATE(B485, ""tr"", ""en"" )"),"In fact, even though he is guilty, he pretends that he did not commit a crime and tries to blame the other person")</f>
        <v>In fact, even though he is guilty, he pretends that he did not commit a crime and tries to blame the other person</v>
      </c>
    </row>
    <row r="486" spans="1:3" ht="14.25" customHeight="1" x14ac:dyDescent="0.3">
      <c r="A486" s="3" t="s">
        <v>966</v>
      </c>
      <c r="B486" s="6" t="s">
        <v>967</v>
      </c>
      <c r="C486" s="5" t="str">
        <f ca="1">IFERROR(__xludf.DUMMYFUNCTION("GOOGLETRANSLATE(B486, ""tr"", ""en"" )"),"On a topic, as everyone wants, random speech")</f>
        <v>On a topic, as everyone wants, random speech</v>
      </c>
    </row>
    <row r="487" spans="1:3" ht="14.25" customHeight="1" x14ac:dyDescent="0.3">
      <c r="A487" s="3" t="s">
        <v>968</v>
      </c>
      <c r="B487" s="6" t="s">
        <v>969</v>
      </c>
      <c r="C487" s="5" t="str">
        <f ca="1">IFERROR(__xludf.DUMMYFUNCTION("GOOGLETRANSLATE(B487, ""tr"", ""en"" )"),"Not to spend money in vain, to be frugal")</f>
        <v>Not to spend money in vain, to be frugal</v>
      </c>
    </row>
    <row r="488" spans="1:3" ht="14.25" customHeight="1" x14ac:dyDescent="0.3">
      <c r="A488" s="3" t="s">
        <v>970</v>
      </c>
      <c r="B488" s="6" t="s">
        <v>971</v>
      </c>
      <c r="C488" s="5" t="str">
        <f ca="1">IFERROR(__xludf.DUMMYFUNCTION("GOOGLETRANSLATE(B488, ""tr"", ""en"" )"),"Paying your receipt and cutting off")</f>
        <v>Paying your receipt and cutting off</v>
      </c>
    </row>
    <row r="489" spans="1:3" ht="14.25" customHeight="1" x14ac:dyDescent="0.3">
      <c r="A489" s="3" t="s">
        <v>972</v>
      </c>
      <c r="B489" s="6" t="s">
        <v>973</v>
      </c>
      <c r="C489" s="5" t="str">
        <f ca="1">IFERROR(__xludf.DUMMYFUNCTION("GOOGLETRANSLATE(B489, ""tr"", ""en"" )"),"Not being able to get what he wants, envy, to get what he wants")</f>
        <v>Not being able to get what he wants, envy, to get what he wants</v>
      </c>
    </row>
    <row r="490" spans="1:3" ht="14.25" customHeight="1" x14ac:dyDescent="0.3">
      <c r="A490" s="3" t="s">
        <v>974</v>
      </c>
      <c r="B490" s="6" t="s">
        <v>975</v>
      </c>
      <c r="C490" s="5" t="str">
        <f ca="1">IFERROR(__xludf.DUMMYFUNCTION("GOOGLETRANSLATE(B490, ""tr"", ""en"" )"),"Get angry and get angry")</f>
        <v>Get angry and get angry</v>
      </c>
    </row>
    <row r="491" spans="1:3" ht="14.25" customHeight="1" x14ac:dyDescent="0.3">
      <c r="A491" s="3" t="s">
        <v>976</v>
      </c>
      <c r="B491" s="6" t="s">
        <v>977</v>
      </c>
      <c r="C491" s="5" t="str">
        <f ca="1">IFERROR(__xludf.DUMMYFUNCTION("GOOGLETRANSLATE(B491, ""tr"", ""en"" )"),"be very similar")</f>
        <v>be very similar</v>
      </c>
    </row>
    <row r="492" spans="1:3" ht="14.25" customHeight="1" x14ac:dyDescent="0.3">
      <c r="A492" s="3" t="s">
        <v>978</v>
      </c>
      <c r="B492" s="6" t="s">
        <v>979</v>
      </c>
      <c r="C492" s="5" t="str">
        <f ca="1">IFERROR(__xludf.DUMMYFUNCTION("GOOGLETRANSLATE(B492, ""tr"", ""en"" )"),"Fighting, noise, fuss and the event")</f>
        <v>Fighting, noise, fuss and the event</v>
      </c>
    </row>
    <row r="493" spans="1:3" ht="14.25" customHeight="1" x14ac:dyDescent="0.3">
      <c r="A493" s="3" t="s">
        <v>980</v>
      </c>
      <c r="B493" s="6" t="s">
        <v>981</v>
      </c>
      <c r="C493" s="5" t="str">
        <f ca="1">IFERROR(__xludf.DUMMYFUNCTION("GOOGLETRANSLATE(B493, ""tr"", ""en"" )"),"At a time when tare falls, stuck and desperate, to keep up with a person he does not expect")</f>
        <v>At a time when tare falls, stuck and desperate, to keep up with a person he does not expect</v>
      </c>
    </row>
    <row r="494" spans="1:3" ht="14.25" customHeight="1" x14ac:dyDescent="0.3">
      <c r="A494" s="3" t="s">
        <v>982</v>
      </c>
      <c r="B494" s="6" t="s">
        <v>983</v>
      </c>
      <c r="C494" s="5" t="str">
        <f ca="1">IFERROR(__xludf.DUMMYFUNCTION("GOOGLETRANSLATE(B494, ""tr"", ""en"" )"),"Not to give importance and value")</f>
        <v>Not to give importance and value</v>
      </c>
    </row>
    <row r="495" spans="1:3" ht="14.25" customHeight="1" x14ac:dyDescent="0.3">
      <c r="A495" s="3" t="s">
        <v>984</v>
      </c>
      <c r="B495" s="6" t="s">
        <v>985</v>
      </c>
      <c r="C495" s="5" t="str">
        <f ca="1">IFERROR(__xludf.DUMMYFUNCTION("GOOGLETRANSLATE(B495, ""tr"", ""en"" )"),"To give up wrong behavior; to get on the right way, to improve")</f>
        <v>To give up wrong behavior; to get on the right way, to improve</v>
      </c>
    </row>
    <row r="496" spans="1:3" ht="14.25" customHeight="1" x14ac:dyDescent="0.3">
      <c r="A496" s="3" t="s">
        <v>986</v>
      </c>
      <c r="B496" s="6" t="s">
        <v>987</v>
      </c>
      <c r="C496" s="5" t="str">
        <f ca="1">IFERROR(__xludf.DUMMYFUNCTION("GOOGLETRANSLATE(B496, ""tr"", ""en"" )"),"Being unable to stand in place of excitement or anger")</f>
        <v>Being unable to stand in place of excitement or anger</v>
      </c>
    </row>
    <row r="497" spans="1:3" ht="14.25" customHeight="1" x14ac:dyDescent="0.3">
      <c r="A497" s="3" t="s">
        <v>988</v>
      </c>
      <c r="B497" s="6" t="s">
        <v>989</v>
      </c>
      <c r="C497" s="5" t="str">
        <f ca="1">IFERROR(__xludf.DUMMYFUNCTION("GOOGLETRANSLATE(B497, ""tr"", ""en"" )"),"To be punished by the court or by someone")</f>
        <v>To be punished by the court or by someone</v>
      </c>
    </row>
    <row r="498" spans="1:3" ht="14.25" customHeight="1" x14ac:dyDescent="0.3">
      <c r="A498" s="3" t="s">
        <v>990</v>
      </c>
      <c r="B498" s="6" t="s">
        <v>991</v>
      </c>
      <c r="C498" s="5" t="str">
        <f ca="1">IFERROR(__xludf.DUMMYFUNCTION("GOOGLETRANSLATE(B498, ""tr"", ""en"" )"),"To be very upset about not reaching the expected result in a subject, to suffer")</f>
        <v>To be very upset about not reaching the expected result in a subject, to suffer</v>
      </c>
    </row>
    <row r="499" spans="1:3" ht="14.25" customHeight="1" x14ac:dyDescent="0.3">
      <c r="A499" s="3" t="s">
        <v>992</v>
      </c>
      <c r="B499" s="6" t="s">
        <v>993</v>
      </c>
      <c r="C499" s="5" t="str">
        <f ca="1">IFERROR(__xludf.DUMMYFUNCTION("GOOGLETRANSLATE(B499, ""tr"", ""en"" )"),"To investigate and examine a matter to the finest details")</f>
        <v>To investigate and examine a matter to the finest details</v>
      </c>
    </row>
    <row r="500" spans="1:3" ht="14.25" customHeight="1" x14ac:dyDescent="0.3">
      <c r="A500" s="3" t="s">
        <v>994</v>
      </c>
      <c r="B500" s="6" t="s">
        <v>995</v>
      </c>
      <c r="C500" s="5" t="str">
        <f ca="1">IFERROR(__xludf.DUMMYFUNCTION("GOOGLETRANSLATE(B500, ""tr"", ""en"" )"),"To force yourself to do a job")</f>
        <v>To force yourself to do a job</v>
      </c>
    </row>
    <row r="501" spans="1:3" ht="14.25" customHeight="1" x14ac:dyDescent="0.3">
      <c r="A501" s="3" t="s">
        <v>996</v>
      </c>
      <c r="B501" s="6" t="s">
        <v>997</v>
      </c>
      <c r="C501" s="5" t="str">
        <f ca="1">IFERROR(__xludf.DUMMYFUNCTION("GOOGLETRANSLATE(B501, ""tr"", ""en"" )"),"To perform the work that is difficult to do, by defeating all the difficulties")</f>
        <v>To perform the work that is difficult to do, by defeating all the difficulties</v>
      </c>
    </row>
    <row r="502" spans="1:3" ht="14.25" customHeight="1" x14ac:dyDescent="0.3">
      <c r="A502" s="3" t="s">
        <v>998</v>
      </c>
      <c r="B502" s="6" t="s">
        <v>999</v>
      </c>
      <c r="C502" s="5" t="str">
        <f ca="1">IFERROR(__xludf.DUMMYFUNCTION("GOOGLETRANSLATE(B502, ""tr"", ""en"" )"),"Repeating an event that has occurred before or a job again, often")</f>
        <v>Repeating an event that has occurred before or a job again, often</v>
      </c>
    </row>
    <row r="503" spans="1:3" ht="14.25" customHeight="1" x14ac:dyDescent="0.3">
      <c r="A503" s="3" t="s">
        <v>1000</v>
      </c>
      <c r="B503" s="6" t="s">
        <v>1001</v>
      </c>
      <c r="C503" s="5" t="str">
        <f ca="1">IFERROR(__xludf.DUMMYFUNCTION("GOOGLETRANSLATE(B503, ""tr"", ""en"" )"),"Throwing aside by finding the job naughty, worthless")</f>
        <v>Throwing aside by finding the job naughty, worthless</v>
      </c>
    </row>
    <row r="504" spans="1:3" ht="14.25" customHeight="1" x14ac:dyDescent="0.3">
      <c r="A504" s="3" t="s">
        <v>1002</v>
      </c>
      <c r="B504" s="6" t="s">
        <v>1003</v>
      </c>
      <c r="C504" s="5" t="str">
        <f ca="1">IFERROR(__xludf.DUMMYFUNCTION("GOOGLETRANSLATE(B504, ""tr"", ""en"" )"),"To clarify a subject with his knowledge and thought, to show the way to hold")</f>
        <v>To clarify a subject with his knowledge and thought, to show the way to hold</v>
      </c>
    </row>
    <row r="505" spans="1:3" ht="14.25" customHeight="1" x14ac:dyDescent="0.3">
      <c r="A505" s="3" t="s">
        <v>1004</v>
      </c>
      <c r="B505" s="6" t="s">
        <v>1005</v>
      </c>
      <c r="C505" s="5" t="str">
        <f ca="1">IFERROR(__xludf.DUMMYFUNCTION("GOOGLETRANSLATE(B505, ""tr"", ""en"" )"),"Fulfill")</f>
        <v>Fulfill</v>
      </c>
    </row>
    <row r="506" spans="1:3" ht="14.25" customHeight="1" x14ac:dyDescent="0.3">
      <c r="A506" s="3" t="s">
        <v>1006</v>
      </c>
      <c r="B506" s="6" t="s">
        <v>1007</v>
      </c>
      <c r="C506" s="5" t="str">
        <f ca="1">IFERROR(__xludf.DUMMYFUNCTION("GOOGLETRANSLATE(B506, ""tr"", ""en"" )"),"Getting a habit that will not be pleasing, doing an unpleasant behavior")</f>
        <v>Getting a habit that will not be pleasing, doing an unpleasant behavior</v>
      </c>
    </row>
    <row r="507" spans="1:3" ht="14.25" customHeight="1" x14ac:dyDescent="0.3">
      <c r="A507" s="3" t="s">
        <v>1008</v>
      </c>
      <c r="B507" s="6" t="s">
        <v>1009</v>
      </c>
      <c r="C507" s="5" t="str">
        <f ca="1">IFERROR(__xludf.DUMMYFUNCTION("GOOGLETRANSLATE(B507, ""tr"", ""en"" )"),"To go away, to refresh the distraction")</f>
        <v>To go away, to refresh the distraction</v>
      </c>
    </row>
    <row r="508" spans="1:3" ht="14.25" customHeight="1" x14ac:dyDescent="0.3">
      <c r="A508" s="3" t="s">
        <v>1010</v>
      </c>
      <c r="B508" s="6" t="s">
        <v>1011</v>
      </c>
      <c r="C508" s="5" t="str">
        <f ca="1">IFERROR(__xludf.DUMMYFUNCTION("GOOGLETRANSLATE(B508, ""tr"", ""en"" )"),"Suddenly whining, feel very sad")</f>
        <v>Suddenly whining, feel very sad</v>
      </c>
    </row>
    <row r="509" spans="1:3" ht="14.25" customHeight="1" x14ac:dyDescent="0.3">
      <c r="A509" s="3" t="s">
        <v>1012</v>
      </c>
      <c r="B509" s="6" t="s">
        <v>1013</v>
      </c>
      <c r="C509" s="5" t="str">
        <f ca="1">IFERROR(__xludf.DUMMYFUNCTION("GOOGLETRANSLATE(B509, ""tr"", ""en"" )")," Who does not behave in a two -sided, clearly saying that he thinks")</f>
        <v xml:space="preserve"> Who does not behave in a two -sided, clearly saying that he thinks</v>
      </c>
    </row>
    <row r="510" spans="1:3" ht="14.25" customHeight="1" x14ac:dyDescent="0.3">
      <c r="A510" s="3" t="s">
        <v>1014</v>
      </c>
      <c r="B510" s="6" t="s">
        <v>1015</v>
      </c>
      <c r="C510" s="5" t="str">
        <f ca="1">IFERROR(__xludf.DUMMYFUNCTION("GOOGLETRANSLATE(B510, ""tr"", ""en"" )"),"Fall asleep even though")</f>
        <v>Fall asleep even though</v>
      </c>
    </row>
    <row r="511" spans="1:3" ht="14.25" customHeight="1" x14ac:dyDescent="0.3">
      <c r="A511" s="3" t="s">
        <v>1016</v>
      </c>
      <c r="B511" s="6" t="s">
        <v>1017</v>
      </c>
      <c r="C511" s="5" t="str">
        <f ca="1">IFERROR(__xludf.DUMMYFUNCTION("GOOGLETRANSLATE(B511, ""tr"", ""en"" )"),"To be very excited, to be enthusiastic and to be able to take himself from showing his joy")</f>
        <v>To be very excited, to be enthusiastic and to be able to take himself from showing his joy</v>
      </c>
    </row>
    <row r="512" spans="1:3" ht="14.25" customHeight="1" x14ac:dyDescent="0.3">
      <c r="A512" s="3" t="s">
        <v>1018</v>
      </c>
      <c r="B512" s="6" t="s">
        <v>1019</v>
      </c>
      <c r="C512" s="5" t="str">
        <f ca="1">IFERROR(__xludf.DUMMYFUNCTION("GOOGLETRANSLATE(B512, ""tr"", ""en"" )")," Hearing a great sorrow; to pity too much by not revealing from the outside")</f>
        <v xml:space="preserve"> Hearing a great sorrow; to pity too much by not revealing from the outside</v>
      </c>
    </row>
    <row r="513" spans="1:3" ht="14.25" customHeight="1" x14ac:dyDescent="0.3">
      <c r="A513" s="3" t="s">
        <v>1020</v>
      </c>
      <c r="B513" s="6" t="s">
        <v>1021</v>
      </c>
      <c r="C513" s="5" t="str">
        <f ca="1">IFERROR(__xludf.DUMMYFUNCTION("GOOGLETRANSLATE(B513, ""tr"", ""en"" )")," To sense, to predict that there is or will be a job")</f>
        <v xml:space="preserve"> To sense, to predict that there is or will be a job</v>
      </c>
    </row>
    <row r="514" spans="1:3" ht="14.25" customHeight="1" x14ac:dyDescent="0.3">
      <c r="A514" s="3" t="s">
        <v>1022</v>
      </c>
      <c r="B514" s="6" t="s">
        <v>1023</v>
      </c>
      <c r="C514" s="5" t="str">
        <f ca="1">IFERROR(__xludf.DUMMYFUNCTION("GOOGLETRANSLATE(B514, ""tr"", ""en"" )"),"To be touched, to be impressed")</f>
        <v>To be touched, to be impressed</v>
      </c>
    </row>
    <row r="515" spans="1:3" ht="14.25" customHeight="1" x14ac:dyDescent="0.3">
      <c r="A515" s="3" t="s">
        <v>1024</v>
      </c>
      <c r="B515" s="6" t="s">
        <v>1025</v>
      </c>
      <c r="C515" s="5" t="str">
        <f ca="1">IFERROR(__xludf.DUMMYFUNCTION("GOOGLETRANSLATE(B515, ""tr"", ""en"" )"),"Not to open your feelings to anyone, to cut off your relationship with the people around him, to be buried in loneliness")</f>
        <v>Not to open your feelings to anyone, to cut off your relationship with the people around him, to be buried in loneliness</v>
      </c>
    </row>
    <row r="516" spans="1:3" ht="14.25" customHeight="1" x14ac:dyDescent="0.3">
      <c r="A516" s="3" t="s">
        <v>1026</v>
      </c>
      <c r="B516" s="6" t="s">
        <v>1027</v>
      </c>
      <c r="C516" s="5" t="str">
        <f ca="1">IFERROR(__xludf.DUMMYFUNCTION("GOOGLETRANSLATE(B516, ""tr"", ""en"" )"),"Suspicion, to doubt that it will be harmful")</f>
        <v>Suspicion, to doubt that it will be harmful</v>
      </c>
    </row>
    <row r="517" spans="1:3" ht="14.25" customHeight="1" x14ac:dyDescent="0.3">
      <c r="A517" s="3" t="s">
        <v>1028</v>
      </c>
      <c r="B517" s="7" t="s">
        <v>1029</v>
      </c>
      <c r="C517" s="5" t="str">
        <f ca="1">IFERROR(__xludf.DUMMYFUNCTION("GOOGLETRANSLATE(B517, ""tr"", ""en"" )"),"Not being comfortable, not being satisfied with what he does")</f>
        <v>Not being comfortable, not being satisfied with what he does</v>
      </c>
    </row>
    <row r="518" spans="1:3" ht="14.25" customHeight="1" x14ac:dyDescent="0.3">
      <c r="A518" s="3" t="s">
        <v>1030</v>
      </c>
      <c r="B518" s="6" t="s">
        <v>1031</v>
      </c>
      <c r="C518" s="5" t="str">
        <f ca="1">IFERROR(__xludf.DUMMYFUNCTION("GOOGLETRANSLATE(B518, ""tr"", ""en"" )"),"To explain their troubles, troubles, sorrows")</f>
        <v>To explain their troubles, troubles, sorrows</v>
      </c>
    </row>
    <row r="519" spans="1:3" ht="14.25" customHeight="1" x14ac:dyDescent="0.3">
      <c r="A519" s="3" t="s">
        <v>1032</v>
      </c>
      <c r="B519" s="6" t="s">
        <v>1033</v>
      </c>
      <c r="C519" s="5" t="str">
        <f ca="1">IFERROR(__xludf.DUMMYFUNCTION("GOOGLETRANSLATE(B519, ""tr"", ""en"" )"),"To be uncomfortable with a sadness and thought")</f>
        <v>To be uncomfortable with a sadness and thought</v>
      </c>
    </row>
    <row r="520" spans="1:3" ht="14.25" customHeight="1" x14ac:dyDescent="0.3">
      <c r="A520" s="3" t="s">
        <v>1034</v>
      </c>
      <c r="B520" s="6" t="s">
        <v>1035</v>
      </c>
      <c r="C520" s="5" t="str">
        <f ca="1">IFERROR(__xludf.DUMMYFUNCTION("GOOGLETRANSLATE(B520, ""tr"", ""en"" )"),"To be too sad because of a great pain")</f>
        <v>To be too sad because of a great pain</v>
      </c>
    </row>
    <row r="521" spans="1:3" ht="14.25" customHeight="1" x14ac:dyDescent="0.3">
      <c r="A521" s="3" t="s">
        <v>1036</v>
      </c>
      <c r="B521" s="6" t="s">
        <v>1037</v>
      </c>
      <c r="C521" s="5" t="str">
        <f ca="1">IFERROR(__xludf.DUMMYFUNCTION("GOOGLETRANSLATE(B521, ""tr"", ""en"" )"),"Quite sad, very pathetic")</f>
        <v>Quite sad, very pathetic</v>
      </c>
    </row>
    <row r="522" spans="1:3" ht="14.25" customHeight="1" x14ac:dyDescent="0.3">
      <c r="A522" s="3" t="s">
        <v>1038</v>
      </c>
      <c r="B522" s="6" t="s">
        <v>1039</v>
      </c>
      <c r="C522" s="5" t="str">
        <f ca="1">IFERROR(__xludf.DUMMYFUNCTION("GOOGLETRANSLATE(B522, ""tr"", ""en"" )"),"Being very sincerely")</f>
        <v>Being very sincerely</v>
      </c>
    </row>
    <row r="523" spans="1:3" ht="14.25" customHeight="1" x14ac:dyDescent="0.3">
      <c r="A523" s="3" t="s">
        <v>1040</v>
      </c>
      <c r="B523" s="6" t="s">
        <v>1041</v>
      </c>
      <c r="C523" s="5" t="str">
        <f ca="1">IFERROR(__xludf.DUMMYFUNCTION("GOOGLETRANSLATE(B523, ""tr"", ""en"" )"),"Being a friendly, sincere friend")</f>
        <v>Being a friendly, sincere friend</v>
      </c>
    </row>
    <row r="524" spans="1:3" ht="14.25" customHeight="1" x14ac:dyDescent="0.3">
      <c r="A524" s="3" t="s">
        <v>1042</v>
      </c>
      <c r="B524" s="6" t="s">
        <v>1043</v>
      </c>
      <c r="C524" s="5" t="str">
        <f ca="1">IFERROR(__xludf.DUMMYFUNCTION("GOOGLETRANSLATE(B524, ""tr"", ""en"" )")," Very crowded, not to walk.")</f>
        <v xml:space="preserve"> Very crowded, not to walk.</v>
      </c>
    </row>
    <row r="525" spans="1:3" ht="14.25" customHeight="1" x14ac:dyDescent="0.3">
      <c r="A525" s="3" t="s">
        <v>1044</v>
      </c>
      <c r="B525" s="6" t="s">
        <v>1045</v>
      </c>
      <c r="C525" s="5" t="str">
        <f ca="1">IFERROR(__xludf.DUMMYFUNCTION("GOOGLETRANSLATE(B525, ""tr"", ""en"" )"),"Trying to achieve a difficult job with inadequate tools and equipment")</f>
        <v>Trying to achieve a difficult job with inadequate tools and equipment</v>
      </c>
    </row>
    <row r="526" spans="1:3" ht="14.25" customHeight="1" x14ac:dyDescent="0.3">
      <c r="A526" s="3" t="s">
        <v>1046</v>
      </c>
      <c r="B526" s="6" t="s">
        <v>1047</v>
      </c>
      <c r="C526" s="5" t="str">
        <f ca="1">IFERROR(__xludf.DUMMYFUNCTION("GOOGLETRANSLATE(B526, ""tr"", ""en"" )"),"Extreme weakening, losing weight")</f>
        <v>Extreme weakening, losing weight</v>
      </c>
    </row>
    <row r="527" spans="1:3" ht="14.25" customHeight="1" x14ac:dyDescent="0.3">
      <c r="A527" s="3" t="s">
        <v>1048</v>
      </c>
      <c r="B527" s="6" t="s">
        <v>1049</v>
      </c>
      <c r="C527" s="5" t="str">
        <f ca="1">IFERROR(__xludf.DUMMYFUNCTION("GOOGLETRANSLATE(B527, ""tr"", ""en"" )"),"Cramored, Under difficult conditions (stay)")</f>
        <v>Cramored, Under difficult conditions (stay)</v>
      </c>
    </row>
    <row r="528" spans="1:3" ht="14.25" customHeight="1" x14ac:dyDescent="0.3">
      <c r="A528" s="3" t="s">
        <v>1050</v>
      </c>
      <c r="B528" s="6" t="s">
        <v>1051</v>
      </c>
      <c r="C528" s="5" t="str">
        <f ca="1">IFERROR(__xludf.DUMMYFUNCTION("GOOGLETRANSLATE(B528, ""tr"", ""en"" )"),"To force someone to do a job, to put it in trouble")</f>
        <v>To force someone to do a job, to put it in trouble</v>
      </c>
    </row>
    <row r="529" spans="1:3" ht="14.25" customHeight="1" x14ac:dyDescent="0.3">
      <c r="A529" s="3" t="s">
        <v>1052</v>
      </c>
      <c r="B529" s="6" t="s">
        <v>1053</v>
      </c>
      <c r="C529" s="5" t="str">
        <f ca="1">IFERROR(__xludf.DUMMYFUNCTION("GOOGLETRANSLATE(B529, ""tr"", ""en"" )"),"Living correctly and virtuouss and seeing reward in the world and the Hereafter")</f>
        <v>Living correctly and virtuouss and seeing reward in the world and the Hereafter</v>
      </c>
    </row>
    <row r="530" spans="1:3" ht="14.25" customHeight="1" x14ac:dyDescent="0.3">
      <c r="A530" s="3" t="s">
        <v>1054</v>
      </c>
      <c r="B530" s="6" t="s">
        <v>1055</v>
      </c>
      <c r="C530" s="5" t="str">
        <f ca="1">IFERROR(__xludf.DUMMYFUNCTION("GOOGLETRANSLATE(B530, ""tr"", ""en"" )"),"Very stylish, carefully dressed (nobody)")</f>
        <v>Very stylish, carefully dressed (nobody)</v>
      </c>
    </row>
    <row r="531" spans="1:3" ht="14.25" customHeight="1" x14ac:dyDescent="0.3">
      <c r="A531" s="3" t="s">
        <v>1056</v>
      </c>
      <c r="B531" s="6" t="s">
        <v>1057</v>
      </c>
      <c r="C531" s="5" t="str">
        <f ca="1">IFERROR(__xludf.DUMMYFUNCTION("GOOGLETRANSLATE(B531, ""tr"", ""en"" )"),"No matter how important it is, even if it is at all,")</f>
        <v>No matter how important it is, even if it is at all,</v>
      </c>
    </row>
    <row r="532" spans="1:3" ht="14.25" customHeight="1" x14ac:dyDescent="0.3">
      <c r="A532" s="3" t="s">
        <v>1058</v>
      </c>
      <c r="B532" s="6" t="s">
        <v>1059</v>
      </c>
      <c r="C532" s="5" t="str">
        <f ca="1">IFERROR(__xludf.DUMMYFUNCTION("GOOGLETRANSLATE(B532, ""tr"", ""en"" )"),"Being a plaintiff on the day of the account; ask for your right to")</f>
        <v>Being a plaintiff on the day of the account; ask for your right to</v>
      </c>
    </row>
    <row r="533" spans="1:3" ht="14.25" customHeight="1" x14ac:dyDescent="0.3">
      <c r="A533" s="3" t="s">
        <v>1060</v>
      </c>
      <c r="B533" s="6" t="s">
        <v>1061</v>
      </c>
      <c r="C533" s="5" t="str">
        <f ca="1">IFERROR(__xludf.DUMMYFUNCTION("GOOGLETRANSLATE(B533, ""tr"", ""en"" )"),"Constantly crying")</f>
        <v>Constantly crying</v>
      </c>
    </row>
    <row r="534" spans="1:3" ht="14.25" customHeight="1" x14ac:dyDescent="0.3">
      <c r="A534" s="3" t="s">
        <v>1062</v>
      </c>
      <c r="B534" s="6" t="s">
        <v>1063</v>
      </c>
      <c r="C534" s="5" t="str">
        <f ca="1">IFERROR(__xludf.DUMMYFUNCTION("GOOGLETRANSLATE(B534, ""tr"", ""en"" )"),"To support both one and the other for the other")</f>
        <v>To support both one and the other for the other</v>
      </c>
    </row>
    <row r="535" spans="1:3" ht="14.25" customHeight="1" x14ac:dyDescent="0.3">
      <c r="A535" s="3" t="s">
        <v>1064</v>
      </c>
      <c r="B535" s="6" t="s">
        <v>1065</v>
      </c>
      <c r="C535" s="5" t="str">
        <f ca="1">IFERROR(__xludf.DUMMYFUNCTION("GOOGLETRANSLATE(B535, ""tr"", ""en"" )"),"Reducing your value and dignity")</f>
        <v>Reducing your value and dignity</v>
      </c>
    </row>
    <row r="536" spans="1:3" ht="14.25" customHeight="1" x14ac:dyDescent="0.3">
      <c r="A536" s="3" t="s">
        <v>1066</v>
      </c>
      <c r="B536" s="6" t="s">
        <v>1067</v>
      </c>
      <c r="C536" s="5" t="str">
        <f ca="1">IFERROR(__xludf.DUMMYFUNCTION("GOOGLETRANSLATE(B536, ""tr"", ""en"" )"),"Being in a shortage of livelihoods and not being able to get rid of debt, not being able to equalize income and expense")</f>
        <v>Being in a shortage of livelihoods and not being able to get rid of debt, not being able to equalize income and expense</v>
      </c>
    </row>
    <row r="537" spans="1:3" ht="14.25" customHeight="1" x14ac:dyDescent="0.3">
      <c r="A537" s="3" t="s">
        <v>1068</v>
      </c>
      <c r="B537" s="6" t="s">
        <v>1069</v>
      </c>
      <c r="C537" s="5" t="str">
        <f ca="1">IFERROR(__xludf.DUMMYFUNCTION("GOOGLETRANSLATE(B537, ""tr"", ""en"" )"),"Talking in an irrelevant, crusher, wounding way")</f>
        <v>Talking in an irrelevant, crusher, wounding way</v>
      </c>
    </row>
    <row r="538" spans="1:3" ht="14.25" customHeight="1" x14ac:dyDescent="0.3">
      <c r="A538" s="3" t="s">
        <v>1070</v>
      </c>
      <c r="B538" s="6" t="s">
        <v>1071</v>
      </c>
      <c r="C538" s="5" t="str">
        <f ca="1">IFERROR(__xludf.DUMMYFUNCTION("GOOGLETRANSLATE(B538, ""tr"", ""en"" )"),"To show meticulousness, to investigate something to the finest details, to review")</f>
        <v>To show meticulousness, to investigate something to the finest details, to review</v>
      </c>
    </row>
    <row r="539" spans="1:3" ht="14.25" customHeight="1" x14ac:dyDescent="0.3">
      <c r="A539" s="3" t="s">
        <v>1072</v>
      </c>
      <c r="B539" s="6" t="s">
        <v>1073</v>
      </c>
      <c r="C539" s="5" t="str">
        <f ca="1">IFERROR(__xludf.DUMMYFUNCTION("GOOGLETRANSLATE(B539, ""tr"", ""en"" )"),"To be deserted, quiet, not to have any living creatures somewhere")</f>
        <v>To be deserted, quiet, not to have any living creatures somewhere</v>
      </c>
    </row>
    <row r="540" spans="1:3" ht="14.25" customHeight="1" x14ac:dyDescent="0.3">
      <c r="A540" s="3" t="s">
        <v>1074</v>
      </c>
      <c r="B540" s="6" t="s">
        <v>1075</v>
      </c>
      <c r="C540" s="5" t="str">
        <f ca="1">IFERROR(__xludf.DUMMYFUNCTION("GOOGLETRANSLATE(B540, ""tr"", ""en"" )"),"Very little or very insignificant")</f>
        <v>Very little or very insignificant</v>
      </c>
    </row>
    <row r="541" spans="1:3" ht="14.25" customHeight="1" x14ac:dyDescent="0.3">
      <c r="A541" s="3" t="s">
        <v>1076</v>
      </c>
      <c r="B541" s="6" t="s">
        <v>1077</v>
      </c>
      <c r="C541" s="5" t="str">
        <f ca="1">IFERROR(__xludf.DUMMYFUNCTION("GOOGLETRANSLATE(B541, ""tr"", ""en"" )"),"In order not to do the desired job, some excuses, reasons, difficulty, to show obstacles")</f>
        <v>In order not to do the desired job, some excuses, reasons, difficulty, to show obstacles</v>
      </c>
    </row>
    <row r="542" spans="1:3" ht="14.25" customHeight="1" x14ac:dyDescent="0.3">
      <c r="A542" s="3" t="s">
        <v>1078</v>
      </c>
      <c r="B542" s="6" t="s">
        <v>1079</v>
      </c>
      <c r="C542" s="5" t="str">
        <f ca="1">IFERROR(__xludf.DUMMYFUNCTION("GOOGLETRANSLATE(B542, ""tr"", ""en"" )"),"Not to miss the measure that needs to manage a place or to use something, and no longer control the situation; go to a dead end")</f>
        <v>Not to miss the measure that needs to manage a place or to use something, and no longer control the situation; go to a dead end</v>
      </c>
    </row>
    <row r="543" spans="1:3" ht="14.25" customHeight="1" x14ac:dyDescent="0.3">
      <c r="A543" s="3" t="s">
        <v>1080</v>
      </c>
      <c r="B543" s="6" t="s">
        <v>1081</v>
      </c>
      <c r="C543" s="5" t="str">
        <f ca="1">IFERROR(__xludf.DUMMYFUNCTION("GOOGLETRANSLATE(B543, ""tr"", ""en"" )"),"Unreliable, trusted by him")</f>
        <v>Unreliable, trusted by him</v>
      </c>
    </row>
    <row r="544" spans="1:3" ht="14.25" customHeight="1" x14ac:dyDescent="0.3">
      <c r="A544" s="3" t="s">
        <v>1082</v>
      </c>
      <c r="B544" s="6" t="s">
        <v>1083</v>
      </c>
      <c r="C544" s="5" t="str">
        <f ca="1">IFERROR(__xludf.DUMMYFUNCTION("GOOGLETRANSLATE(B544, ""tr"", ""en"" )"),"Waiting for time for time to come, asking for a lot")</f>
        <v>Waiting for time for time to come, asking for a lot</v>
      </c>
    </row>
    <row r="545" spans="1:3" ht="14.25" customHeight="1" x14ac:dyDescent="0.3">
      <c r="A545" s="3" t="s">
        <v>1084</v>
      </c>
      <c r="B545" s="6" t="s">
        <v>1085</v>
      </c>
      <c r="C545" s="5" t="str">
        <f ca="1">IFERROR(__xludf.DUMMYFUNCTION("GOOGLETRANSLATE(B545, ""tr"", ""en"" )"),"Not to mind an event, not to change the situation and behavior")</f>
        <v>Not to mind an event, not to change the situation and behavior</v>
      </c>
    </row>
    <row r="546" spans="1:3" ht="14.25" customHeight="1" x14ac:dyDescent="0.3">
      <c r="A546" s="3" t="s">
        <v>1086</v>
      </c>
      <c r="B546" s="6" t="s">
        <v>1087</v>
      </c>
      <c r="C546" s="5" t="str">
        <f ca="1">IFERROR(__xludf.DUMMYFUNCTION("GOOGLETRANSLATE(B546, ""tr"", ""en"" )"),"When the help he expects does not come, having to do his own job")</f>
        <v>When the help he expects does not come, having to do his own job</v>
      </c>
    </row>
    <row r="547" spans="1:3" ht="14.25" customHeight="1" x14ac:dyDescent="0.3">
      <c r="A547" s="3" t="s">
        <v>1088</v>
      </c>
      <c r="B547" s="6" t="s">
        <v>1089</v>
      </c>
      <c r="C547" s="5" t="str">
        <f ca="1">IFERROR(__xludf.DUMMYFUNCTION("GOOGLETRANSLATE(B547, ""tr"", ""en"" )"),"A job is difficult to get out of the main purpose, taking a disorder and turmoil to start")</f>
        <v>A job is difficult to get out of the main purpose, taking a disorder and turmoil to start</v>
      </c>
    </row>
    <row r="548" spans="1:3" ht="14.25" customHeight="1" x14ac:dyDescent="0.3">
      <c r="A548" s="3" t="s">
        <v>1090</v>
      </c>
      <c r="B548" s="6" t="s">
        <v>1091</v>
      </c>
      <c r="C548" s="5" t="str">
        <f ca="1">IFERROR(__xludf.DUMMYFUNCTION("GOOGLETRANSLATE(B548, ""tr"", ""en"" )"),"Need someone's help")</f>
        <v>Need someone's help</v>
      </c>
    </row>
    <row r="549" spans="1:3" ht="14.25" customHeight="1" x14ac:dyDescent="0.3">
      <c r="A549" s="3" t="s">
        <v>1092</v>
      </c>
      <c r="B549" s="6" t="s">
        <v>1093</v>
      </c>
      <c r="C549" s="5" t="str">
        <f ca="1">IFERROR(__xludf.DUMMYFUNCTION("GOOGLETRANSLATE(B549, ""tr"", ""en"" )"),"To assign, send someone to do a job")</f>
        <v>To assign, send someone to do a job</v>
      </c>
    </row>
    <row r="550" spans="1:3" ht="14.25" customHeight="1" x14ac:dyDescent="0.3">
      <c r="A550" s="3" t="s">
        <v>1094</v>
      </c>
      <c r="B550" s="6" t="s">
        <v>1095</v>
      </c>
      <c r="C550" s="5" t="str">
        <f ca="1">IFERROR(__xludf.DUMMYFUNCTION("GOOGLETRANSLATE(B550, ""tr"", ""en"" )"),"Have a lot of work")</f>
        <v>Have a lot of work</v>
      </c>
    </row>
    <row r="551" spans="1:3" ht="14.25" customHeight="1" x14ac:dyDescent="0.3">
      <c r="A551" s="3" t="s">
        <v>1096</v>
      </c>
      <c r="B551" s="6" t="s">
        <v>1097</v>
      </c>
      <c r="C551" s="5" t="str">
        <f ca="1">IFERROR(__xludf.DUMMYFUNCTION("GOOGLETRANSLATE(B551, ""tr"", ""en"" )"),"To be very convenient and good")</f>
        <v>To be very convenient and good</v>
      </c>
    </row>
    <row r="552" spans="1:3" ht="14.25" customHeight="1" x14ac:dyDescent="0.3">
      <c r="A552" s="3" t="s">
        <v>1098</v>
      </c>
      <c r="B552" s="6" t="s">
        <v>1099</v>
      </c>
      <c r="C552" s="5" t="str">
        <f ca="1">IFERROR(__xludf.DUMMYFUNCTION("GOOGLETRANSLATE(B552, ""tr"", ""en"" )"),"To do difficulty not to do the work that can be done, visible")</f>
        <v>To do difficulty not to do the work that can be done, visible</v>
      </c>
    </row>
    <row r="553" spans="1:3" ht="14.25" customHeight="1" x14ac:dyDescent="0.3">
      <c r="A553" s="3" t="s">
        <v>1100</v>
      </c>
      <c r="B553" s="6" t="s">
        <v>1101</v>
      </c>
      <c r="C553" s="5" t="str">
        <f ca="1">IFERROR(__xludf.DUMMYFUNCTION("GOOGLETRANSLATE(B553, ""tr"", ""en"" )")," Work, to get a difficult situation to get out of; encounter obstacles")</f>
        <v xml:space="preserve"> Work, to get a difficult situation to get out of; encounter obstacles</v>
      </c>
    </row>
    <row r="554" spans="1:3" ht="14.25" customHeight="1" x14ac:dyDescent="0.3">
      <c r="A554" s="3" t="s">
        <v>1102</v>
      </c>
      <c r="B554" s="6" t="s">
        <v>1103</v>
      </c>
      <c r="C554" s="5" t="str">
        <f ca="1">IFERROR(__xludf.DUMMYFUNCTION("GOOGLETRANSLATE(B554, ""tr"", ""en"" )"),"Forced, hardly")</f>
        <v>Forced, hardly</v>
      </c>
    </row>
    <row r="555" spans="1:3" ht="14.25" customHeight="1" x14ac:dyDescent="0.3">
      <c r="A555" s="3" t="s">
        <v>1104</v>
      </c>
      <c r="B555" s="6" t="s">
        <v>1105</v>
      </c>
      <c r="C555" s="5" t="str">
        <f ca="1">IFERROR(__xludf.DUMMYFUNCTION("GOOGLETRANSLATE(B555, ""tr"", ""en"" )"),"To maintain the work he started by connecting to someone with the same understanding, to adopt his ideas and movements exactly")</f>
        <v>To maintain the work he started by connecting to someone with the same understanding, to adopt his ideas and movements exactly</v>
      </c>
    </row>
    <row r="556" spans="1:3" ht="14.25" customHeight="1" x14ac:dyDescent="0.3">
      <c r="A556" s="3" t="s">
        <v>1106</v>
      </c>
      <c r="B556" s="6" t="s">
        <v>1107</v>
      </c>
      <c r="C556" s="5" t="str">
        <f ca="1">IFERROR(__xludf.DUMMYFUNCTION("GOOGLETRANSLATE(B556, ""tr"", ""en"" )"),"Understanding, grasp")</f>
        <v>Understanding, grasp</v>
      </c>
    </row>
    <row r="557" spans="1:3" ht="14.25" customHeight="1" x14ac:dyDescent="0.3">
      <c r="A557" s="3" t="s">
        <v>1108</v>
      </c>
      <c r="B557" s="6" t="s">
        <v>1109</v>
      </c>
      <c r="C557" s="5" t="str">
        <f ca="1">IFERROR(__xludf.DUMMYFUNCTION("GOOGLETRANSLATE(B557, ""tr"", ""en"" )"),"Understanding a subject, problem or thought and understanding power")</f>
        <v>Understanding a subject, problem or thought and understanding power</v>
      </c>
    </row>
    <row r="558" spans="1:3" ht="14.25" customHeight="1" x14ac:dyDescent="0.3">
      <c r="A558" s="3" t="s">
        <v>1110</v>
      </c>
      <c r="B558" s="6" t="s">
        <v>1111</v>
      </c>
      <c r="C558" s="5" t="str">
        <f ca="1">IFERROR(__xludf.DUMMYFUNCTION("GOOGLETRANSLATE(B558, ""tr"", ""en"" )"),"Only one of the events that many people are interested in is harmful; to endure the harmful conclusion of a job even though it is not expected")</f>
        <v>Only one of the events that many people are interested in is harmful; to endure the harmful conclusion of a job even though it is not expected</v>
      </c>
    </row>
    <row r="559" spans="1:3" ht="14.25" customHeight="1" x14ac:dyDescent="0.3">
      <c r="A559" s="3" t="s">
        <v>1112</v>
      </c>
      <c r="B559" s="6" t="s">
        <v>1113</v>
      </c>
      <c r="C559" s="5" t="str">
        <f ca="1">IFERROR(__xludf.DUMMYFUNCTION("GOOGLETRANSLATE(B559, ""tr"", ""en"" )"),"Tired of it")</f>
        <v>Tired of it</v>
      </c>
    </row>
    <row r="560" spans="1:3" ht="14.25" customHeight="1" x14ac:dyDescent="0.3">
      <c r="A560" s="3" t="s">
        <v>1114</v>
      </c>
      <c r="B560" s="6" t="s">
        <v>1115</v>
      </c>
      <c r="C560" s="5" t="str">
        <f ca="1">IFERROR(__xludf.DUMMYFUNCTION("GOOGLETRANSLATE(B560, ""tr"", ""en"" )"),"To make floods from joy and excitement")</f>
        <v>To make floods from joy and excitement</v>
      </c>
    </row>
    <row r="561" spans="1:3" ht="14.25" customHeight="1" x14ac:dyDescent="0.3">
      <c r="A561" s="3" t="s">
        <v>1116</v>
      </c>
      <c r="B561" s="6" t="s">
        <v>1117</v>
      </c>
      <c r="C561" s="5" t="str">
        <f ca="1">IFERROR(__xludf.DUMMYFUNCTION("GOOGLETRANSLATE(B561, ""tr"", ""en"" )"),"Staying alone, cutting out of interest with the outside world, not meeting with anyone")</f>
        <v>Staying alone, cutting out of interest with the outside world, not meeting with anyone</v>
      </c>
    </row>
    <row r="562" spans="1:3" ht="14.25" customHeight="1" x14ac:dyDescent="0.3">
      <c r="A562" s="3" t="s">
        <v>1118</v>
      </c>
      <c r="B562" s="6" t="s">
        <v>1119</v>
      </c>
      <c r="C562" s="5" t="str">
        <f ca="1">IFERROR(__xludf.DUMMYFUNCTION("GOOGLETRANSLATE(B562, ""tr"", ""en"" )"),"Talking on a topic without reviewing a topic")</f>
        <v>Talking on a topic without reviewing a topic</v>
      </c>
    </row>
    <row r="563" spans="1:3" ht="14.25" customHeight="1" x14ac:dyDescent="0.3">
      <c r="A563" s="3" t="s">
        <v>1120</v>
      </c>
      <c r="B563" s="6" t="s">
        <v>1121</v>
      </c>
      <c r="C563" s="5" t="str">
        <f ca="1">IFERROR(__xludf.DUMMYFUNCTION("GOOGLETRANSLATE(B563, ""tr"", ""en"" )"),"Thinking, crazy things, mind -scarce")</f>
        <v>Thinking, crazy things, mind -scarce</v>
      </c>
    </row>
    <row r="564" spans="1:3" ht="14.25" customHeight="1" x14ac:dyDescent="0.3">
      <c r="A564" s="3" t="s">
        <v>1122</v>
      </c>
      <c r="B564" s="6" t="s">
        <v>1123</v>
      </c>
      <c r="C564" s="5" t="str">
        <f ca="1">IFERROR(__xludf.DUMMYFUNCTION("GOOGLETRANSLATE(B564, ""tr"", ""en"" )"),"His behavior, understanding, world views fits each other")</f>
        <v>His behavior, understanding, world views fits each other</v>
      </c>
    </row>
    <row r="565" spans="1:3" ht="14.25" customHeight="1" x14ac:dyDescent="0.3">
      <c r="A565" s="3" t="s">
        <v>1124</v>
      </c>
      <c r="B565" s="6" t="s">
        <v>1125</v>
      </c>
      <c r="C565" s="5" t="str">
        <f ca="1">IFERROR(__xludf.DUMMYFUNCTION("GOOGLETRANSLATE(B565, ""tr"", ""en"" )"),"Thinking a lot on a topic, making mind")</f>
        <v>Thinking a lot on a topic, making mind</v>
      </c>
    </row>
    <row r="566" spans="1:3" ht="14.25" customHeight="1" x14ac:dyDescent="0.3">
      <c r="A566" s="3" t="s">
        <v>1126</v>
      </c>
      <c r="B566" s="6" t="s">
        <v>1127</v>
      </c>
      <c r="C566" s="5" t="str">
        <f ca="1">IFERROR(__xludf.DUMMYFUNCTION("GOOGLETRANSLATE(B566, ""tr"", ""en"" )"),"To oppose, to resist, not to submit")</f>
        <v>To oppose, to resist, not to submit</v>
      </c>
    </row>
    <row r="567" spans="1:3" ht="14.25" customHeight="1" x14ac:dyDescent="0.3">
      <c r="A567" s="3" t="s">
        <v>1128</v>
      </c>
      <c r="B567" s="6" t="s">
        <v>1129</v>
      </c>
      <c r="C567" s="5" t="str">
        <f ca="1">IFERROR(__xludf.DUMMYFUNCTION("GOOGLETRANSLATE(B567, ""tr"", ""en"" )"),"Get tired")</f>
        <v>Get tired</v>
      </c>
    </row>
    <row r="568" spans="1:3" ht="14.25" customHeight="1" x14ac:dyDescent="0.3">
      <c r="A568" s="3" t="s">
        <v>1130</v>
      </c>
      <c r="B568" s="6" t="s">
        <v>1131</v>
      </c>
      <c r="C568" s="5" t="str">
        <f ca="1">IFERROR(__xludf.DUMMYFUNCTION("GOOGLETRANSLATE(B568, ""tr"", ""en"" )"),"Get angry and get angry")</f>
        <v>Get angry and get angry</v>
      </c>
    </row>
    <row r="569" spans="1:3" ht="14.25" customHeight="1" x14ac:dyDescent="0.3">
      <c r="A569" s="3" t="s">
        <v>1132</v>
      </c>
      <c r="B569" s="6" t="s">
        <v>1133</v>
      </c>
      <c r="C569" s="5" t="str">
        <f ca="1">IFERROR(__xludf.DUMMYFUNCTION("GOOGLETRANSLATE(B569, ""tr"", ""en"" )"),"To understand a matter that he hasn't understood for a long time because of an event, to understand, understand")</f>
        <v>To understand a matter that he hasn't understood for a long time because of an event, to understand, understand</v>
      </c>
    </row>
    <row r="570" spans="1:3" ht="14.25" customHeight="1" x14ac:dyDescent="0.3">
      <c r="A570" s="3" t="s">
        <v>1134</v>
      </c>
      <c r="B570" s="6" t="s">
        <v>1135</v>
      </c>
      <c r="C570" s="5" t="str">
        <f ca="1">IFERROR(__xludf.DUMMYFUNCTION("GOOGLETRANSLATE(B570, ""tr"", ""en"" )"),"He's determined to do something and wait for his time")</f>
        <v>He's determined to do something and wait for his time</v>
      </c>
    </row>
    <row r="571" spans="1:3" ht="14.25" customHeight="1" x14ac:dyDescent="0.3">
      <c r="A571" s="3" t="s">
        <v>1136</v>
      </c>
      <c r="B571" s="6" t="s">
        <v>1137</v>
      </c>
      <c r="C571" s="5" t="str">
        <f ca="1">IFERROR(__xludf.DUMMYFUNCTION("GOOGLETRANSLATE(B571, ""tr"", ""en"" )"),"At that moment to be very tired")</f>
        <v>At that moment to be very tired</v>
      </c>
    </row>
    <row r="572" spans="1:3" ht="14.25" customHeight="1" x14ac:dyDescent="0.3">
      <c r="A572" s="3" t="s">
        <v>1138</v>
      </c>
      <c r="B572" s="6" t="s">
        <v>1139</v>
      </c>
      <c r="C572" s="5" t="str">
        <f ca="1">IFERROR(__xludf.DUMMYFUNCTION("GOOGLETRANSLATE(B572, ""tr"", ""en"" )"),"Passing your thoughts and emotions")</f>
        <v>Passing your thoughts and emotions</v>
      </c>
    </row>
    <row r="573" spans="1:3" ht="14.25" customHeight="1" x14ac:dyDescent="0.3">
      <c r="A573" s="3" t="s">
        <v>1140</v>
      </c>
      <c r="B573" s="6" t="s">
        <v>1141</v>
      </c>
      <c r="C573" s="5" t="str">
        <f ca="1">IFERROR(__xludf.DUMMYFUNCTION("GOOGLETRANSLATE(B573, ""tr"", ""en"" )"),"Not to be applied even though it is decided")</f>
        <v>Not to be applied even though it is decided</v>
      </c>
    </row>
    <row r="574" spans="1:3" ht="14.25" customHeight="1" x14ac:dyDescent="0.3">
      <c r="A574" s="3" t="s">
        <v>1142</v>
      </c>
      <c r="B574" s="6" t="s">
        <v>1143</v>
      </c>
      <c r="C574" s="5" t="str">
        <f ca="1">IFERROR(__xludf.DUMMYFUNCTION("GOOGLETRANSLATE(B574, ""tr"", ""en"" )"),"Hurt, upset enough to offend")</f>
        <v>Hurt, upset enough to offend</v>
      </c>
    </row>
    <row r="575" spans="1:3" ht="14.25" customHeight="1" x14ac:dyDescent="0.3">
      <c r="A575" s="3" t="s">
        <v>1144</v>
      </c>
      <c r="B575" s="6" t="s">
        <v>1145</v>
      </c>
      <c r="C575" s="5" t="str">
        <f ca="1">IFERROR(__xludf.DUMMYFUNCTION("GOOGLETRANSLATE(B575, ""tr"", ""en"" )"),"To deal with an inefficient, efficiency that cannot be obtained or not")</f>
        <v>To deal with an inefficient, efficiency that cannot be obtained or not</v>
      </c>
    </row>
    <row r="576" spans="1:3" ht="14.25" customHeight="1" x14ac:dyDescent="0.3">
      <c r="A576" s="3" t="s">
        <v>1146</v>
      </c>
      <c r="B576" s="6" t="s">
        <v>1147</v>
      </c>
      <c r="C576" s="5" t="str">
        <f ca="1">IFERROR(__xludf.DUMMYFUNCTION("GOOGLETRANSLATE(B576, ""tr"", ""en"" )"),"Supervised, distinguished, visible among the like")</f>
        <v>Supervised, distinguished, visible among the like</v>
      </c>
    </row>
    <row r="577" spans="1:3" ht="14.25" customHeight="1" x14ac:dyDescent="0.3">
      <c r="A577" s="3" t="s">
        <v>1148</v>
      </c>
      <c r="B577" s="6" t="s">
        <v>1149</v>
      </c>
      <c r="C577" s="5" t="str">
        <f ca="1">IFERROR(__xludf.DUMMYFUNCTION("GOOGLETRANSLATE(B577, ""tr"", ""en"" )"),"Not finding worth mentioning")</f>
        <v>Not finding worth mentioning</v>
      </c>
    </row>
    <row r="578" spans="1:3" ht="14.25" customHeight="1" x14ac:dyDescent="0.3">
      <c r="A578" s="3" t="s">
        <v>1150</v>
      </c>
      <c r="B578" s="6" t="s">
        <v>1151</v>
      </c>
      <c r="C578" s="5" t="str">
        <f ca="1">IFERROR(__xludf.DUMMYFUNCTION("GOOGLETRANSLATE(B578, ""tr"", ""en"" )"),"Trusting something with all sincerity, verifying something")</f>
        <v>Trusting something with all sincerity, verifying something</v>
      </c>
    </row>
    <row r="579" spans="1:3" ht="14.25" customHeight="1" x14ac:dyDescent="0.3">
      <c r="A579" s="3" t="s">
        <v>1152</v>
      </c>
      <c r="B579" s="6" t="s">
        <v>1153</v>
      </c>
      <c r="C579" s="5" t="str">
        <f ca="1">IFERROR(__xludf.DUMMYFUNCTION("GOOGLETRANSLATE(B579, ""tr"", ""en"" )"),"Being not expected of your appearance, not revealing what is expected")</f>
        <v>Being not expected of your appearance, not revealing what is expected</v>
      </c>
    </row>
    <row r="580" spans="1:3" ht="14.25" customHeight="1" x14ac:dyDescent="0.3">
      <c r="A580" s="3" t="s">
        <v>1154</v>
      </c>
      <c r="B580" s="6" t="s">
        <v>1155</v>
      </c>
      <c r="C580" s="5" t="str">
        <f ca="1">IFERROR(__xludf.DUMMYFUNCTION("GOOGLETRANSLATE(B580, ""tr"", ""en"" )"),"Entering different disguises to provide interest")</f>
        <v>Entering different disguises to provide interest</v>
      </c>
    </row>
    <row r="581" spans="1:3" ht="14.25" customHeight="1" x14ac:dyDescent="0.3">
      <c r="A581" s="3" t="s">
        <v>1156</v>
      </c>
      <c r="B581" s="6" t="s">
        <v>1157</v>
      </c>
      <c r="C581" s="5" t="str">
        <f ca="1">IFERROR(__xludf.DUMMYFUNCTION("GOOGLETRANSLATE(B581, ""tr"", ""en"" )"),"To gain the love of someone with a good behavior and word, attract attention")</f>
        <v>To gain the love of someone with a good behavior and word, attract attention</v>
      </c>
    </row>
    <row r="582" spans="1:3" ht="14.25" customHeight="1" x14ac:dyDescent="0.3">
      <c r="A582" s="3" t="s">
        <v>1158</v>
      </c>
      <c r="B582" s="6" t="s">
        <v>1159</v>
      </c>
      <c r="C582" s="5" t="str">
        <f ca="1">IFERROR(__xludf.DUMMYFUNCTION("GOOGLETRANSLATE(B582, ""tr"", ""en"" )"),"If a meeting, entertainment or work is made without the most concerned people, it does not taste.")</f>
        <v>If a meeting, entertainment or work is made without the most concerned people, it does not taste.</v>
      </c>
    </row>
    <row r="583" spans="1:3" ht="14.25" customHeight="1" x14ac:dyDescent="0.3">
      <c r="A583" s="3" t="s">
        <v>1160</v>
      </c>
      <c r="B583" s="6" t="s">
        <v>1161</v>
      </c>
      <c r="C583" s="5" t="str">
        <f ca="1">IFERROR(__xludf.DUMMYFUNCTION("GOOGLETRANSLATE(B583, ""tr"", ""en"" )"),"Boredom on boredom")</f>
        <v>Boredom on boredom</v>
      </c>
    </row>
    <row r="584" spans="1:3" ht="14.25" customHeight="1" x14ac:dyDescent="0.3">
      <c r="A584" s="3" t="s">
        <v>1162</v>
      </c>
      <c r="B584" s="6" t="s">
        <v>1163</v>
      </c>
      <c r="C584" s="5" t="str">
        <f ca="1">IFERROR(__xludf.DUMMYFUNCTION("GOOGLETRANSLATE(B584, ""tr"", ""en"" )"),"To protect, to observe, to take under his protection")</f>
        <v>To protect, to observe, to take under his protection</v>
      </c>
    </row>
    <row r="585" spans="1:3" ht="14.25" customHeight="1" x14ac:dyDescent="0.3">
      <c r="A585" s="3" t="s">
        <v>1164</v>
      </c>
      <c r="B585" s="6" t="s">
        <v>1165</v>
      </c>
      <c r="C585" s="5" t="str">
        <f ca="1">IFERROR(__xludf.DUMMYFUNCTION("GOOGLETRANSLATE(B585, ""tr"", ""en"" )"),"In great sorrow and complain")</f>
        <v>In great sorrow and complain</v>
      </c>
    </row>
    <row r="586" spans="1:3" ht="14.25" customHeight="1" x14ac:dyDescent="0.3">
      <c r="A586" s="3" t="s">
        <v>1166</v>
      </c>
      <c r="B586" s="6" t="s">
        <v>1167</v>
      </c>
      <c r="C586" s="5" t="str">
        <f ca="1">IFERROR(__xludf.DUMMYFUNCTION("GOOGLETRANSLATE(B586, ""tr"", ""en"" )"),"To protect someone, to take the supervision")</f>
        <v>To protect someone, to take the supervision</v>
      </c>
    </row>
    <row r="587" spans="1:3" ht="14.25" customHeight="1" x14ac:dyDescent="0.3">
      <c r="A587" s="3" t="s">
        <v>1168</v>
      </c>
      <c r="B587" s="6" t="s">
        <v>1169</v>
      </c>
      <c r="C587" s="5" t="str">
        <f ca="1">IFERROR(__xludf.DUMMYFUNCTION("GOOGLETRANSLATE(B587, ""tr"", ""en"" )"),"Getting very angry, getting angry")</f>
        <v>Getting very angry, getting angry</v>
      </c>
    </row>
    <row r="588" spans="1:3" ht="14.25" customHeight="1" x14ac:dyDescent="0.3">
      <c r="A588" s="3" t="s">
        <v>1170</v>
      </c>
      <c r="B588" s="6" t="s">
        <v>1171</v>
      </c>
      <c r="C588" s="5" t="str">
        <f ca="1">IFERROR(__xludf.DUMMYFUNCTION("GOOGLETRANSLATE(B588, ""tr"", ""en"" )"),"Being a lot of blood, too people to be killed")</f>
        <v>Being a lot of blood, too people to be killed</v>
      </c>
    </row>
    <row r="589" spans="1:3" ht="14.25" customHeight="1" x14ac:dyDescent="0.3">
      <c r="A589" s="3" t="s">
        <v>1172</v>
      </c>
      <c r="B589" s="6" t="s">
        <v>1173</v>
      </c>
      <c r="C589" s="5" t="str">
        <f ca="1">IFERROR(__xludf.DUMMYFUNCTION("GOOGLETRANSLATE(B589, ""tr"", ""en"" )"),"Their behavior is slow, unpleasant, speaking troubles to people, unpleasant")</f>
        <v>Their behavior is slow, unpleasant, speaking troubles to people, unpleasant</v>
      </c>
    </row>
    <row r="590" spans="1:3" ht="14.25" customHeight="1" x14ac:dyDescent="0.3">
      <c r="A590" s="3" t="s">
        <v>1174</v>
      </c>
      <c r="B590" s="6" t="s">
        <v>1175</v>
      </c>
      <c r="C590" s="5" t="str">
        <f ca="1">IFERROR(__xludf.DUMMYFUNCTION("GOOGLETRANSLATE(B590, ""tr"", ""en"" )"),"Desolate, disgusting things")</f>
        <v>Desolate, disgusting things</v>
      </c>
    </row>
    <row r="591" spans="1:3" ht="14.25" customHeight="1" x14ac:dyDescent="0.3">
      <c r="A591" s="3" t="s">
        <v>1176</v>
      </c>
      <c r="B591" s="6" t="s">
        <v>1177</v>
      </c>
      <c r="C591" s="5" t="str">
        <f ca="1">IFERROR(__xludf.DUMMYFUNCTION("GOOGLETRANSLATE(B591, ""tr"", ""en"" )"),"Moving, enthusiasm")</f>
        <v>Moving, enthusiasm</v>
      </c>
    </row>
    <row r="592" spans="1:3" ht="14.25" customHeight="1" x14ac:dyDescent="0.3">
      <c r="A592" s="3" t="s">
        <v>1178</v>
      </c>
      <c r="B592" s="6" t="s">
        <v>1179</v>
      </c>
      <c r="C592" s="5" t="str">
        <f ca="1">IFERROR(__xludf.DUMMYFUNCTION("GOOGLETRANSLATE(B592, ""tr"", ""en"" )"),"Taking the risk of injury or murder")</f>
        <v>Taking the risk of injury or murder</v>
      </c>
    </row>
    <row r="593" spans="1:3" ht="14.25" customHeight="1" x14ac:dyDescent="0.3">
      <c r="A593" s="3" t="s">
        <v>1180</v>
      </c>
      <c r="B593" s="6" t="s">
        <v>1181</v>
      </c>
      <c r="C593" s="5" t="str">
        <f ca="1">IFERROR(__xludf.DUMMYFUNCTION("GOOGLETRANSLATE(B593, ""tr"", ""en"" )"),"Paying his work with his life")</f>
        <v>Paying his work with his life</v>
      </c>
    </row>
    <row r="594" spans="1:3" ht="14.25" customHeight="1" x14ac:dyDescent="0.3">
      <c r="A594" s="3" t="s">
        <v>1182</v>
      </c>
      <c r="B594" s="6" t="s">
        <v>1183</v>
      </c>
      <c r="C594" s="5" t="str">
        <f ca="1">IFERROR(__xludf.DUMMYFUNCTION("GOOGLETRANSLATE(B594, ""tr"", ""en"" )"),"Very torment, suffering")</f>
        <v>Very torment, suffering</v>
      </c>
    </row>
    <row r="595" spans="1:3" ht="14.25" customHeight="1" x14ac:dyDescent="0.3">
      <c r="A595" s="3" t="s">
        <v>1184</v>
      </c>
      <c r="B595" s="6" t="s">
        <v>1185</v>
      </c>
      <c r="C595" s="5" t="str">
        <f ca="1">IFERROR(__xludf.DUMMYFUNCTION("GOOGLETRANSLATE(B595, ""tr"", ""en"" )"),"Great trouble and torment")</f>
        <v>Great trouble and torment</v>
      </c>
    </row>
    <row r="596" spans="1:3" ht="14.25" customHeight="1" x14ac:dyDescent="0.3">
      <c r="A596" s="3" t="s">
        <v>1186</v>
      </c>
      <c r="B596" s="6" t="s">
        <v>1187</v>
      </c>
      <c r="C596" s="5" t="str">
        <f ca="1">IFERROR(__xludf.DUMMYFUNCTION("GOOGLETRANSLATE(B596, ""tr"", ""en"" )"),"Being hostile to each other enough to shed each other's blood, kill each other")</f>
        <v>Being hostile to each other enough to shed each other's blood, kill each other</v>
      </c>
    </row>
    <row r="597" spans="1:3" ht="14.25" customHeight="1" x14ac:dyDescent="0.3">
      <c r="A597" s="3" t="s">
        <v>1188</v>
      </c>
      <c r="B597" s="6" t="s">
        <v>1189</v>
      </c>
      <c r="C597" s="5" t="str">
        <f ca="1">IFERROR(__xludf.DUMMYFUNCTION("GOOGLETRANSLATE(B597, ""tr"", ""en"" )"),"It is obvious because of its healthy, deviant, vigorous and alive")</f>
        <v>It is obvious because of its healthy, deviant, vigorous and alive</v>
      </c>
    </row>
    <row r="598" spans="1:3" ht="14.25" customHeight="1" x14ac:dyDescent="0.3">
      <c r="A598" s="3" t="s">
        <v>1190</v>
      </c>
      <c r="B598" s="6" t="s">
        <v>1191</v>
      </c>
      <c r="C598" s="5" t="str">
        <f ca="1">IFERROR(__xludf.DUMMYFUNCTION("GOOGLETRANSLATE(B598, ""tr"", ""en"" )"),"To be very tired, sweaty, exhausted and miserable")</f>
        <v>To be very tired, sweaty, exhausted and miserable</v>
      </c>
    </row>
    <row r="599" spans="1:3" ht="14.25" customHeight="1" x14ac:dyDescent="0.3">
      <c r="A599" s="3" t="s">
        <v>1192</v>
      </c>
      <c r="B599" s="6" t="s">
        <v>1193</v>
      </c>
      <c r="C599" s="5" t="str">
        <f ca="1">IFERROR(__xludf.DUMMYFUNCTION("GOOGLETRANSLATE(B599, ""tr"", ""en"" )"),"To get rid of a troubled place and get a place where it will be comfortable")</f>
        <v>To get rid of a troubled place and get a place where it will be comfortable</v>
      </c>
    </row>
    <row r="600" spans="1:3" ht="14.25" customHeight="1" x14ac:dyDescent="0.3">
      <c r="A600" s="3" t="s">
        <v>1194</v>
      </c>
      <c r="B600" s="6" t="s">
        <v>1195</v>
      </c>
      <c r="C600" s="5" t="str">
        <f ca="1">IFERROR(__xludf.DUMMYFUNCTION("GOOGLETRANSLATE(B600, ""tr"", ""en"" )"),"Shooting, throwing out")</f>
        <v>Shooting, throwing out</v>
      </c>
    </row>
    <row r="601" spans="1:3" ht="14.25" customHeight="1" x14ac:dyDescent="0.3">
      <c r="A601" s="3" t="s">
        <v>1196</v>
      </c>
      <c r="B601" s="6" t="s">
        <v>1197</v>
      </c>
      <c r="C601" s="5" t="str">
        <f ca="1">IFERROR(__xludf.DUMMYFUNCTION("GOOGLETRANSLATE(B601, ""tr"", ""en"" )"),"To go and go too often to someone until you get what you want")</f>
        <v>To go and go too often to someone until you get what you want</v>
      </c>
    </row>
    <row r="602" spans="1:3" ht="14.25" customHeight="1" x14ac:dyDescent="0.3">
      <c r="A602" s="3" t="s">
        <v>1198</v>
      </c>
      <c r="B602" s="6" t="s">
        <v>1199</v>
      </c>
      <c r="C602" s="5" t="str">
        <f ca="1">IFERROR(__xludf.DUMMYFUNCTION("GOOGLETRANSLATE(B602, ""tr"", ""en"" )"),"To slander someone, to stain, to blame unjustly")</f>
        <v>To slander someone, to stain, to blame unjustly</v>
      </c>
    </row>
    <row r="603" spans="1:3" ht="14.25" customHeight="1" x14ac:dyDescent="0.3">
      <c r="A603" s="3" t="s">
        <v>1200</v>
      </c>
      <c r="B603" s="6" t="s">
        <v>1201</v>
      </c>
      <c r="C603" s="5" t="str">
        <f ca="1">IFERROR(__xludf.DUMMYFUNCTION("GOOGLETRANSLATE(B603, ""tr"", ""en"" )"),"Not only in good days, but troubled, sad, who runs to the help of people during the days of fondness, who does not leave his friend alone")</f>
        <v>Not only in good days, but troubled, sad, who runs to the help of people during the days of fondness, who does not leave his friend alone</v>
      </c>
    </row>
    <row r="604" spans="1:3" ht="14.25" customHeight="1" x14ac:dyDescent="0.3">
      <c r="A604" s="3" t="s">
        <v>1202</v>
      </c>
      <c r="B604" s="6" t="s">
        <v>1203</v>
      </c>
      <c r="C604" s="5" t="str">
        <f ca="1">IFERROR(__xludf.DUMMYFUNCTION("GOOGLETRANSLATE(B604, ""tr"", ""en"" )"),"Mourning a disaster for a disaster")</f>
        <v>Mourning a disaster for a disaster</v>
      </c>
    </row>
    <row r="605" spans="1:3" ht="14.25" customHeight="1" x14ac:dyDescent="0.3">
      <c r="A605" s="3" t="s">
        <v>1204</v>
      </c>
      <c r="B605" s="6" t="s">
        <v>1205</v>
      </c>
      <c r="C605" s="5" t="str">
        <f ca="1">IFERROR(__xludf.DUMMYFUNCTION("GOOGLETRANSLATE(B605, ""tr"", ""en"" )"),"A person or business may seem usual, but what may come out of it is never clear, then it appears.")</f>
        <v>A person or business may seem usual, but what may come out of it is never clear, then it appears.</v>
      </c>
    </row>
    <row r="606" spans="1:3" ht="14.25" customHeight="1" x14ac:dyDescent="0.3">
      <c r="A606" s="3" t="s">
        <v>1206</v>
      </c>
      <c r="B606" s="6" t="s">
        <v>1207</v>
      </c>
      <c r="C606" s="5" t="str">
        <f ca="1">IFERROR(__xludf.DUMMYFUNCTION("GOOGLETRANSLATE(B606, ""tr"", ""en"" )"),"Turning a secret job so that no one can sense, doing inappropriate jobs")</f>
        <v>Turning a secret job so that no one can sense, doing inappropriate jobs</v>
      </c>
    </row>
    <row r="607" spans="1:3" ht="14.25" customHeight="1" x14ac:dyDescent="0.3">
      <c r="A607" s="3" t="s">
        <v>1208</v>
      </c>
      <c r="B607" s="6" t="s">
        <v>1209</v>
      </c>
      <c r="C607" s="5" t="str">
        <f ca="1">IFERROR(__xludf.DUMMYFUNCTION("GOOGLETRANSLATE(B607, ""tr"", ""en"" )"),"Curved, bad, difficult to read, distorted, irregular")</f>
        <v>Curved, bad, difficult to read, distorted, irregular</v>
      </c>
    </row>
    <row r="608" spans="1:3" ht="14.25" customHeight="1" x14ac:dyDescent="0.3">
      <c r="A608" s="3" t="s">
        <v>1210</v>
      </c>
      <c r="B608" s="6" t="s">
        <v>1211</v>
      </c>
      <c r="C608" s="5" t="str">
        <f ca="1">IFERROR(__xludf.DUMMYFUNCTION("GOOGLETRANSLATE(B608, ""tr"", ""en"" )"),"Divide and share in equal proportions")</f>
        <v>Divide and share in equal proportions</v>
      </c>
    </row>
    <row r="609" spans="1:3" ht="14.25" customHeight="1" x14ac:dyDescent="0.3">
      <c r="A609" s="3" t="s">
        <v>1212</v>
      </c>
      <c r="B609" s="6" t="s">
        <v>1213</v>
      </c>
      <c r="C609" s="5" t="str">
        <f ca="1">IFERROR(__xludf.DUMMYFUNCTION("GOOGLETRANSLATE(B609, ""tr"", ""en"" )"),"Very small, frequent and unrelated, intercimes")</f>
        <v>Very small, frequent and unrelated, intercimes</v>
      </c>
    </row>
    <row r="610" spans="1:3" ht="14.25" customHeight="1" x14ac:dyDescent="0.3">
      <c r="A610" s="3" t="s">
        <v>1214</v>
      </c>
      <c r="B610" s="6" t="s">
        <v>1215</v>
      </c>
      <c r="C610" s="5" t="str">
        <f ca="1">IFERROR(__xludf.DUMMYFUNCTION("GOOGLETRANSLATE(B610, ""tr"", ""en"" )"),"Being too crowded and moving")</f>
        <v>Being too crowded and moving</v>
      </c>
    </row>
    <row r="611" spans="1:3" ht="14.25" customHeight="1" x14ac:dyDescent="0.3">
      <c r="A611" s="3" t="s">
        <v>1216</v>
      </c>
      <c r="B611" s="6" t="s">
        <v>1217</v>
      </c>
      <c r="C611" s="5" t="str">
        <f ca="1">IFERROR(__xludf.DUMMYFUNCTION("GOOGLETRANSLATE(B611, ""tr"", ""en"" )"),"Even though it is less, insignificant and small, as much as he can, as much as he can")</f>
        <v>Even though it is less, insignificant and small, as much as he can, as much as he can</v>
      </c>
    </row>
    <row r="612" spans="1:3" ht="14.25" customHeight="1" x14ac:dyDescent="0.3">
      <c r="A612" s="3" t="s">
        <v>1218</v>
      </c>
      <c r="B612" s="6" t="s">
        <v>1219</v>
      </c>
      <c r="C612" s="5" t="str">
        <f ca="1">IFERROR(__xludf.DUMMYFUNCTION("GOOGLETRANSLATE(B612, ""tr"", ""en"" )"),"Very confused, very complicated, irregular")</f>
        <v>Very confused, very complicated, irregular</v>
      </c>
    </row>
    <row r="613" spans="1:3" ht="14.25" customHeight="1" x14ac:dyDescent="0.3">
      <c r="A613" s="3" t="s">
        <v>1220</v>
      </c>
      <c r="B613" s="6" t="s">
        <v>1221</v>
      </c>
      <c r="C613" s="5" t="str">
        <f ca="1">IFERROR(__xludf.DUMMYFUNCTION("GOOGLETRANSLATE(B613, ""tr"", ""en"" )"),"Not to carry anything, not meticulous, without scales")</f>
        <v>Not to carry anything, not meticulous, without scales</v>
      </c>
    </row>
    <row r="614" spans="1:3" ht="14.25" customHeight="1" x14ac:dyDescent="0.3">
      <c r="A614" s="3" t="s">
        <v>1222</v>
      </c>
      <c r="B614" s="6" t="s">
        <v>1223</v>
      </c>
      <c r="C614" s="5" t="str">
        <f ca="1">IFERROR(__xludf.DUMMYFUNCTION("GOOGLETRANSLATE(B614, ""tr"", ""en"" )"),"not to be fooled by his words, not to care")</f>
        <v>not to be fooled by his words, not to care</v>
      </c>
    </row>
    <row r="615" spans="1:3" ht="14.25" customHeight="1" x14ac:dyDescent="0.3">
      <c r="A615" s="3" t="s">
        <v>1224</v>
      </c>
      <c r="B615" s="6" t="s">
        <v>1225</v>
      </c>
      <c r="C615" s="5" t="str">
        <f ca="1">IFERROR(__xludf.DUMMYFUNCTION("GOOGLETRANSLATE(B615, ""tr"", ""en"" )"),"His livelihood is good, in the case of time, no money shortage")</f>
        <v>His livelihood is good, in the case of time, no money shortage</v>
      </c>
    </row>
    <row r="616" spans="1:3" ht="14.25" customHeight="1" x14ac:dyDescent="0.3">
      <c r="A616" s="3" t="s">
        <v>1226</v>
      </c>
      <c r="B616" s="6" t="s">
        <v>1227</v>
      </c>
      <c r="C616" s="5" t="str">
        <f ca="1">IFERROR(__xludf.DUMMYFUNCTION("GOOGLETRANSLATE(B616, ""tr"", ""en"" )"),"Be very hungry")</f>
        <v>Be very hungry</v>
      </c>
    </row>
    <row r="617" spans="1:3" ht="14.25" customHeight="1" x14ac:dyDescent="0.3">
      <c r="A617" s="3" t="s">
        <v>1228</v>
      </c>
      <c r="B617" s="6" t="s">
        <v>1229</v>
      </c>
      <c r="C617" s="5" t="str">
        <f ca="1">IFERROR(__xludf.DUMMYFUNCTION("GOOGLETRANSLATE(B617, ""tr"", ""en"" )"),"To give a sign with eyebrows and eye movements, to try to explain what you want in this way")</f>
        <v>To give a sign with eyebrows and eye movements, to try to explain what you want in this way</v>
      </c>
    </row>
    <row r="618" spans="1:3" ht="14.25" customHeight="1" x14ac:dyDescent="0.3">
      <c r="A618" s="3" t="s">
        <v>1230</v>
      </c>
      <c r="B618" s="6" t="s">
        <v>1231</v>
      </c>
      <c r="C618" s="5" t="str">
        <f ca="1">IFERROR(__xludf.DUMMYFUNCTION("GOOGLETRANSLATE(B618, ""tr"", ""en"" )"),"After doing a favor, doing an evil that will dismiss this good")</f>
        <v>After doing a favor, doing an evil that will dismiss this good</v>
      </c>
    </row>
    <row r="619" spans="1:3" ht="14.25" customHeight="1" x14ac:dyDescent="0.3">
      <c r="A619" s="3" t="s">
        <v>1232</v>
      </c>
      <c r="B619" s="6" t="s">
        <v>1233</v>
      </c>
      <c r="C619" s="5" t="str">
        <f ca="1">IFERROR(__xludf.DUMMYFUNCTION("GOOGLETRANSLATE(B619, ""tr"", ""en"" )"),"Very quickly, in a little time to give no one opportunity to sense")</f>
        <v>Very quickly, in a little time to give no one opportunity to sense</v>
      </c>
    </row>
    <row r="620" spans="1:3" ht="14.25" customHeight="1" x14ac:dyDescent="0.3">
      <c r="A620" s="3" t="s">
        <v>1234</v>
      </c>
      <c r="B620" s="6" t="s">
        <v>1235</v>
      </c>
      <c r="C620" s="5" t="str">
        <f ca="1">IFERROR(__xludf.DUMMYFUNCTION("GOOGLETRANSLATE(B620, ""tr"", ""en"" )"),"When you say let me correct the job, do a favor")</f>
        <v>When you say let me correct the job, do a favor</v>
      </c>
    </row>
    <row r="621" spans="1:3" ht="14.25" customHeight="1" x14ac:dyDescent="0.3">
      <c r="A621" s="3" t="s">
        <v>1236</v>
      </c>
      <c r="B621" s="6" t="s">
        <v>1237</v>
      </c>
      <c r="C621" s="5" t="str">
        <f ca="1">IFERROR(__xludf.DUMMYFUNCTION("GOOGLETRANSLATE(B621, ""tr"", ""en"" )"),"Ruthless, merciless")</f>
        <v>Ruthless, merciless</v>
      </c>
    </row>
    <row r="622" spans="1:3" ht="14.25" customHeight="1" x14ac:dyDescent="0.3">
      <c r="A622" s="3" t="s">
        <v>1238</v>
      </c>
      <c r="B622" s="6" t="s">
        <v>1239</v>
      </c>
      <c r="C622" s="5" t="str">
        <f ca="1">IFERROR(__xludf.DUMMYFUNCTION("GOOGLETRANSLATE(B622, ""tr"", ""en"" )"),"Not to care, not pay attention, not to show interest")</f>
        <v>Not to care, not pay attention, not to show interest</v>
      </c>
    </row>
    <row r="623" spans="1:3" ht="14.25" customHeight="1" x14ac:dyDescent="0.3">
      <c r="A623" s="3" t="s">
        <v>1240</v>
      </c>
      <c r="B623" s="6" t="s">
        <v>1241</v>
      </c>
      <c r="C623" s="5" t="str">
        <f ca="1">IFERROR(__xludf.DUMMYFUNCTION("GOOGLETRANSLATE(B623, ""tr"", ""en"" )"),"Collectively opposing the administration, lifting the head")</f>
        <v>Collectively opposing the administration, lifting the head</v>
      </c>
    </row>
    <row r="624" spans="1:3" ht="14.25" customHeight="1" x14ac:dyDescent="0.3">
      <c r="A624" s="3" t="s">
        <v>1242</v>
      </c>
      <c r="B624" s="6" t="s">
        <v>1243</v>
      </c>
      <c r="C624" s="5" t="str">
        <f ca="1">IFERROR(__xludf.DUMMYFUNCTION("GOOGLETRANSLATE(B624, ""tr"", ""en"" )"),"Bolt upright")</f>
        <v>Bolt upright</v>
      </c>
    </row>
    <row r="625" spans="1:3" ht="14.25" customHeight="1" x14ac:dyDescent="0.3">
      <c r="A625" s="3" t="s">
        <v>1244</v>
      </c>
      <c r="B625" s="6" t="s">
        <v>1245</v>
      </c>
      <c r="C625" s="5" t="str">
        <f ca="1">IFERROR(__xludf.DUMMYFUNCTION("GOOGLETRANSLATE(B625, ""tr"", ""en"" )"),"The situation or the issue is not as thought")</f>
        <v>The situation or the issue is not as thought</v>
      </c>
    </row>
    <row r="626" spans="1:3" ht="14.25" customHeight="1" x14ac:dyDescent="0.3">
      <c r="A626" s="3" t="s">
        <v>1246</v>
      </c>
      <c r="B626" s="6" t="s">
        <v>1247</v>
      </c>
      <c r="C626" s="5" t="str">
        <f ca="1">IFERROR(__xludf.DUMMYFUNCTION("GOOGLETRANSLATE(B626, ""tr"", ""en"" )"),"Losing your thinking ability, playing your mind, going crazy")</f>
        <v>Losing your thinking ability, playing your mind, going crazy</v>
      </c>
    </row>
    <row r="627" spans="1:3" ht="14.25" customHeight="1" x14ac:dyDescent="0.3">
      <c r="A627" s="3" t="s">
        <v>1248</v>
      </c>
      <c r="B627" s="6" t="s">
        <v>1249</v>
      </c>
      <c r="C627" s="5" t="str">
        <f ca="1">IFERROR(__xludf.DUMMYFUNCTION("GOOGLETRANSLATE(B627, ""tr"", ""en"" )"),"Looking at the desire to seize with envy, appetite")</f>
        <v>Looking at the desire to seize with envy, appetite</v>
      </c>
    </row>
    <row r="628" spans="1:3" ht="14.25" customHeight="1" x14ac:dyDescent="0.3">
      <c r="A628" s="3" t="s">
        <v>1250</v>
      </c>
      <c r="B628" s="6" t="s">
        <v>1251</v>
      </c>
      <c r="C628" s="5" t="str">
        <f ca="1">IFERROR(__xludf.DUMMYFUNCTION("GOOGLETRANSLATE(B628, ""tr"", ""en"" )"),"Get rid of the most difficult, most dangerous situation")</f>
        <v>Get rid of the most difficult, most dangerous situation</v>
      </c>
    </row>
    <row r="629" spans="1:3" ht="14.25" customHeight="1" x14ac:dyDescent="0.3">
      <c r="A629" s="3" t="s">
        <v>1252</v>
      </c>
      <c r="B629" s="6" t="s">
        <v>1253</v>
      </c>
      <c r="C629" s="5" t="str">
        <f ca="1">IFERROR(__xludf.DUMMYFUNCTION("GOOGLETRANSLATE(B629, ""tr"", ""en"" )"),"For the first time, why did he do a job expected from him later")</f>
        <v>For the first time, why did he do a job expected from him later</v>
      </c>
    </row>
    <row r="630" spans="1:3" ht="14.25" customHeight="1" x14ac:dyDescent="0.3">
      <c r="A630" s="3" t="s">
        <v>1254</v>
      </c>
      <c r="B630" s="6" t="s">
        <v>1255</v>
      </c>
      <c r="C630" s="5" t="str">
        <f ca="1">IFERROR(__xludf.DUMMYFUNCTION("GOOGLETRANSLATE(B630, ""tr"", ""en"" )"),"A serious patient skipping the danger of death")</f>
        <v>A serious patient skipping the danger of death</v>
      </c>
    </row>
    <row r="631" spans="1:3" ht="14.25" customHeight="1" x14ac:dyDescent="0.3">
      <c r="A631" s="3" t="s">
        <v>1256</v>
      </c>
      <c r="B631" s="6" t="s">
        <v>1257</v>
      </c>
      <c r="C631" s="5" t="str">
        <f ca="1">IFERROR(__xludf.DUMMYFUNCTION("GOOGLETRANSLATE(B631, ""tr"", ""en"" )"),"Unnecessary wannabe and pretension while waiting for many needs to be met")</f>
        <v>Unnecessary wannabe and pretension while waiting for many needs to be met</v>
      </c>
    </row>
    <row r="632" spans="1:3" ht="14.25" customHeight="1" x14ac:dyDescent="0.3">
      <c r="A632" s="3" t="s">
        <v>1258</v>
      </c>
      <c r="B632" s="6" t="s">
        <v>1259</v>
      </c>
      <c r="C632" s="5" t="str">
        <f ca="1">IFERROR(__xludf.DUMMYFUNCTION("GOOGLETRANSLATE(B632, ""tr"", ""en"" )"),"A misdemeanor, defect appearing")</f>
        <v>A misdemeanor, defect appearing</v>
      </c>
    </row>
    <row r="633" spans="1:3" ht="14.25" customHeight="1" x14ac:dyDescent="0.3">
      <c r="A633" s="3" t="s">
        <v>1260</v>
      </c>
      <c r="B633" s="6" t="s">
        <v>1261</v>
      </c>
      <c r="C633" s="5" t="str">
        <f ca="1">IFERROR(__xludf.DUMMYFUNCTION("GOOGLETRANSLATE(B633, ""tr"", ""en"" )"),"Running too quickly with a hasty that is not necessary")</f>
        <v>Running too quickly with a hasty that is not necessary</v>
      </c>
    </row>
    <row r="634" spans="1:3" ht="14.25" customHeight="1" x14ac:dyDescent="0.3">
      <c r="A634" s="3" t="s">
        <v>1262</v>
      </c>
      <c r="B634" s="6" t="s">
        <v>1263</v>
      </c>
      <c r="C634" s="5" t="str">
        <f ca="1">IFERROR(__xludf.DUMMYFUNCTION("GOOGLETRANSLATE(B634, ""tr"", ""en"" )"),"Attempting a job by taking the risk of death")</f>
        <v>Attempting a job by taking the risk of death</v>
      </c>
    </row>
    <row r="635" spans="1:3" ht="14.25" customHeight="1" x14ac:dyDescent="0.3">
      <c r="A635" s="3" t="s">
        <v>1263</v>
      </c>
      <c r="B635" s="6" t="s">
        <v>1264</v>
      </c>
      <c r="C635" s="5" t="str">
        <f ca="1">IFERROR(__xludf.DUMMYFUNCTION("GOOGLETRANSLATE(B635, ""tr"", ""en"" )"),"Being frugal, enduring hunger and thirst")</f>
        <v>Being frugal, enduring hunger and thirst</v>
      </c>
    </row>
    <row r="636" spans="1:3" ht="14.25" customHeight="1" x14ac:dyDescent="0.3">
      <c r="A636" s="3" t="s">
        <v>1265</v>
      </c>
      <c r="B636" s="6" t="s">
        <v>1266</v>
      </c>
      <c r="C636" s="5" t="str">
        <f ca="1">IFERROR(__xludf.DUMMYFUNCTION("GOOGLETRANSLATE(B636, ""tr"", ""en"" )"),"Not being able to express what he wants to say, saying meaningless words by not being able to find answers in the face of a question")</f>
        <v>Not being able to express what he wants to say, saying meaningless words by not being able to find answers in the face of a question</v>
      </c>
    </row>
    <row r="637" spans="1:3" ht="14.25" customHeight="1" x14ac:dyDescent="0.3">
      <c r="A637" s="3" t="s">
        <v>1267</v>
      </c>
      <c r="B637" s="6" t="s">
        <v>1268</v>
      </c>
      <c r="C637" s="5" t="str">
        <f ca="1">IFERROR(__xludf.DUMMYFUNCTION("GOOGLETRANSLATE(B637, ""tr"", ""en"" )"),"Quiet, not involved in anything, does not want to interfere, calm (nobody)")</f>
        <v>Quiet, not involved in anything, does not want to interfere, calm (nobody)</v>
      </c>
    </row>
    <row r="638" spans="1:3" ht="14.25" customHeight="1" x14ac:dyDescent="0.3">
      <c r="A638" s="3" t="s">
        <v>1269</v>
      </c>
      <c r="B638" s="6" t="s">
        <v>1270</v>
      </c>
      <c r="C638" s="5" t="str">
        <f ca="1">IFERROR(__xludf.DUMMYFUNCTION("GOOGLETRANSLATE(B638, ""tr"", ""en"" )"),"To be happy by considering what others will say, just designing a job on its own")</f>
        <v>To be happy by considering what others will say, just designing a job on its own</v>
      </c>
    </row>
    <row r="639" spans="1:3" ht="14.25" customHeight="1" x14ac:dyDescent="0.3">
      <c r="A639" s="3" t="s">
        <v>1271</v>
      </c>
      <c r="B639" s="6" t="s">
        <v>1272</v>
      </c>
      <c r="C639" s="5" t="str">
        <f ca="1">IFERROR(__xludf.DUMMYFUNCTION("GOOGLETRANSLATE(B639, ""tr"", ""en"" )"),"To be worried secretly, worrying that he did not want to work")</f>
        <v>To be worried secretly, worrying that he did not want to work</v>
      </c>
    </row>
    <row r="640" spans="1:3" ht="14.25" customHeight="1" x14ac:dyDescent="0.3">
      <c r="A640" s="3" t="s">
        <v>1273</v>
      </c>
      <c r="B640" s="6" t="s">
        <v>1274</v>
      </c>
      <c r="C640" s="5" t="str">
        <f ca="1">IFERROR(__xludf.DUMMYFUNCTION("GOOGLETRANSLATE(B640, ""tr"", ""en"" )"),"Losing yourself, fainting, being aware of consciousness")</f>
        <v>Losing yourself, fainting, being aware of consciousness</v>
      </c>
    </row>
    <row r="641" spans="1:3" ht="14.25" customHeight="1" x14ac:dyDescent="0.3">
      <c r="A641" s="3" t="s">
        <v>1275</v>
      </c>
      <c r="B641" s="6" t="s">
        <v>1276</v>
      </c>
      <c r="C641" s="5" t="str">
        <f ca="1">IFERROR(__xludf.DUMMYFUNCTION("GOOGLETRANSLATE(B641, ""tr"", ""en"" )"),"To compare and evaluate a situation with its own situation")</f>
        <v>To compare and evaluate a situation with its own situation</v>
      </c>
    </row>
    <row r="642" spans="1:3" ht="14.25" customHeight="1" x14ac:dyDescent="0.3">
      <c r="A642" s="3" t="s">
        <v>1277</v>
      </c>
      <c r="B642" s="6" t="s">
        <v>1278</v>
      </c>
      <c r="C642" s="5" t="str">
        <f ca="1">IFERROR(__xludf.DUMMYFUNCTION("GOOGLETRANSLATE(B642, ""tr"", ""en"" )"),"Reacting by seeing a job degrading and touching his personality")</f>
        <v>Reacting by seeing a job degrading and touching his personality</v>
      </c>
    </row>
    <row r="643" spans="1:3" ht="14.25" customHeight="1" x14ac:dyDescent="0.3">
      <c r="A643" s="3" t="s">
        <v>1279</v>
      </c>
      <c r="B643" s="6" t="s">
        <v>1280</v>
      </c>
      <c r="C643" s="5" t="str">
        <f ca="1">IFERROR(__xludf.DUMMYFUNCTION("GOOGLETRANSLATE(B643, ""tr"", ""en"" )"),"To take advantage of the opportunity and not to think about others to move in the direction of providing your own interest")</f>
        <v>To take advantage of the opportunity and not to think about others to move in the direction of providing your own interest</v>
      </c>
    </row>
    <row r="644" spans="1:3" ht="14.25" customHeight="1" x14ac:dyDescent="0.3">
      <c r="A644" s="3" t="s">
        <v>1281</v>
      </c>
      <c r="B644" s="6" t="s">
        <v>1282</v>
      </c>
      <c r="C644" s="5" t="str">
        <f ca="1">IFERROR(__xludf.DUMMYFUNCTION("GOOGLETRANSLATE(B644, ""tr"", ""en"" )"),"To accept the job that is to be done after many requests and many insistence")</f>
        <v>To accept the job that is to be done after many requests and many insistence</v>
      </c>
    </row>
    <row r="645" spans="1:3" ht="14.25" customHeight="1" x14ac:dyDescent="0.3">
      <c r="A645" s="3" t="s">
        <v>1283</v>
      </c>
      <c r="B645" s="6" t="s">
        <v>1284</v>
      </c>
      <c r="C645" s="5" t="str">
        <f ca="1">IFERROR(__xludf.DUMMYFUNCTION("GOOGLETRANSLATE(B645, ""tr"", ""en"" )"),"To stay in unwillingly to do a job, not to be unable to do, to keep yourself")</f>
        <v>To stay in unwillingly to do a job, not to be unable to do, to keep yourself</v>
      </c>
    </row>
    <row r="646" spans="1:3" ht="14.25" customHeight="1" x14ac:dyDescent="0.3">
      <c r="A646" s="3" t="s">
        <v>1285</v>
      </c>
      <c r="B646" s="6" t="s">
        <v>1286</v>
      </c>
      <c r="C646" s="5" t="str">
        <f ca="1">IFERROR(__xludf.DUMMYFUNCTION("GOOGLETRANSLATE(B646, ""tr"", ""en"" )"),"Knowingly engage in a difficult and dangerous job")</f>
        <v>Knowingly engage in a difficult and dangerous job</v>
      </c>
    </row>
    <row r="647" spans="1:3" ht="14.25" customHeight="1" x14ac:dyDescent="0.3">
      <c r="A647" s="3" t="s">
        <v>1287</v>
      </c>
      <c r="B647" s="6" t="s">
        <v>1288</v>
      </c>
      <c r="C647" s="5" t="str">
        <f ca="1">IFERROR(__xludf.DUMMYFUNCTION("GOOGLETRANSLATE(B647, ""tr"", ""en"" )"),"Thinking of himself is a big man; Seeing superior, talented, strong")</f>
        <v>Thinking of himself is a big man; Seeing superior, talented, strong</v>
      </c>
    </row>
    <row r="648" spans="1:3" ht="14.25" customHeight="1" x14ac:dyDescent="0.3">
      <c r="A648" s="3" t="s">
        <v>1289</v>
      </c>
      <c r="B648" s="6" t="s">
        <v>1290</v>
      </c>
      <c r="C648" s="5" t="str">
        <f ca="1">IFERROR(__xludf.DUMMYFUNCTION("GOOGLETRANSLATE(B648, ""tr"", ""en"" )"),"Not being able to save himself from the effect of something")</f>
        <v>Not being able to save himself from the effect of something</v>
      </c>
    </row>
    <row r="649" spans="1:3" ht="14.25" customHeight="1" x14ac:dyDescent="0.3">
      <c r="A649" s="3" t="s">
        <v>1291</v>
      </c>
      <c r="B649" s="6" t="s">
        <v>1292</v>
      </c>
      <c r="C649" s="5" t="str">
        <f ca="1">IFERROR(__xludf.DUMMYFUNCTION("GOOGLETRANSLATE(B649, ""tr"", ""en"" )"),"Correcting the bad, corrupt status")</f>
        <v>Correcting the bad, corrupt status</v>
      </c>
    </row>
    <row r="650" spans="1:3" ht="14.25" customHeight="1" x14ac:dyDescent="0.3">
      <c r="A650" s="3" t="s">
        <v>1293</v>
      </c>
      <c r="B650" s="6" t="s">
        <v>1294</v>
      </c>
      <c r="C650" s="5" t="str">
        <f ca="1">IFERROR(__xludf.DUMMYFUNCTION("GOOGLETRANSLATE(B650, ""tr"", ""en"" )"),"In the face of a situation, being silent and excited to stop being able to stop, not being able to control yourself")</f>
        <v>In the face of a situation, being silent and excited to stop being able to stop, not being able to control yourself</v>
      </c>
    </row>
    <row r="651" spans="1:3" ht="14.25" customHeight="1" x14ac:dyDescent="0.3">
      <c r="A651" s="3" t="s">
        <v>1295</v>
      </c>
      <c r="B651" s="6" t="s">
        <v>1296</v>
      </c>
      <c r="C651" s="5" t="str">
        <f ca="1">IFERROR(__xludf.DUMMYFUNCTION("GOOGLETRANSLATE(B651, ""tr"", ""en"" )"),"To connect to something with all its existence, to cut off his attention with other things and to take care of him, to try to do something with all his strength")</f>
        <v>To connect to something with all its existence, to cut off his attention with other things and to take care of him, to try to do something with all his strength</v>
      </c>
    </row>
    <row r="652" spans="1:3" ht="14.25" customHeight="1" x14ac:dyDescent="0.3">
      <c r="A652" s="3" t="s">
        <v>1297</v>
      </c>
      <c r="B652" s="6" t="s">
        <v>1298</v>
      </c>
      <c r="C652" s="5" t="str">
        <f ca="1">IFERROR(__xludf.DUMMYFUNCTION("GOOGLETRANSLATE(B652, ""tr"", ""en"" )"),"To try to live without needing anyone; not asking anyone for help by meeting their needs")</f>
        <v>To try to live without needing anyone; not asking anyone for help by meeting their needs</v>
      </c>
    </row>
    <row r="653" spans="1:3" ht="14.25" customHeight="1" x14ac:dyDescent="0.3">
      <c r="A653" s="3" t="s">
        <v>1299</v>
      </c>
      <c r="B653" s="6" t="s">
        <v>1300</v>
      </c>
      <c r="C653" s="5" t="str">
        <f ca="1">IFERROR(__xludf.DUMMYFUNCTION("GOOGLETRANSLATE(B653, ""tr"", ""en"" )"),"not to leave the flow; not to let someone after someone, even though it is not requested,")</f>
        <v>not to leave the flow; not to let someone after someone, even though it is not requested,</v>
      </c>
    </row>
    <row r="654" spans="1:3" ht="14.25" customHeight="1" x14ac:dyDescent="0.3">
      <c r="A654" s="3" t="s">
        <v>1301</v>
      </c>
      <c r="B654" s="6" t="s">
        <v>1302</v>
      </c>
      <c r="C654" s="5" t="str">
        <f ca="1">IFERROR(__xludf.DUMMYFUNCTION("GOOGLETRANSLATE(B654, ""tr"", ""en"" )"),"Starting to spend plenty of money")</f>
        <v>Starting to spend plenty of money</v>
      </c>
    </row>
    <row r="655" spans="1:3" ht="14.25" customHeight="1" x14ac:dyDescent="0.3">
      <c r="A655" s="3" t="s">
        <v>1303</v>
      </c>
      <c r="B655" s="6" t="s">
        <v>1304</v>
      </c>
      <c r="C655" s="5" t="str">
        <f ca="1">IFERROR(__xludf.DUMMYFUNCTION("GOOGLETRANSLATE(B655, ""tr"", ""en"" )"),"Not to interfere with someone, not to prevent him from living as he wishes")</f>
        <v>Not to interfere with someone, not to prevent him from living as he wishes</v>
      </c>
    </row>
    <row r="656" spans="1:3" ht="14.25" customHeight="1" x14ac:dyDescent="0.3">
      <c r="A656" s="3" t="s">
        <v>1305</v>
      </c>
      <c r="B656" s="6" t="s">
        <v>1306</v>
      </c>
      <c r="C656" s="5" t="str">
        <f ca="1">IFERROR(__xludf.DUMMYFUNCTION("GOOGLETRANSLATE(B656, ""tr"", ""en"" )"),"Being cheerful, spending a nice and fun time")</f>
        <v>Being cheerful, spending a nice and fun time</v>
      </c>
    </row>
    <row r="657" spans="1:3" ht="14.25" customHeight="1" x14ac:dyDescent="0.3">
      <c r="A657" s="3" t="s">
        <v>1307</v>
      </c>
      <c r="B657" s="6" t="s">
        <v>1308</v>
      </c>
      <c r="C657" s="5" t="str">
        <f ca="1">IFERROR(__xludf.DUMMYFUNCTION("GOOGLETRANSLATE(B657, ""tr"", ""en"" )"),"Anyone who is fond of his comfortable benefit from his taste")</f>
        <v>Anyone who is fond of his comfortable benefit from his taste</v>
      </c>
    </row>
    <row r="658" spans="1:3" ht="14.25" customHeight="1" x14ac:dyDescent="0.3">
      <c r="A658" s="3" t="s">
        <v>1309</v>
      </c>
      <c r="B658" s="6" t="s">
        <v>1310</v>
      </c>
      <c r="C658" s="5" t="str">
        <f ca="1">IFERROR(__xludf.DUMMYFUNCTION("GOOGLETRANSLATE(B658, ""tr"", ""en"" )"),"To be meticulous, to examine the finest details with very care, to emphasize on importance")</f>
        <v>To be meticulous, to examine the finest details with very care, to emphasize on importance</v>
      </c>
    </row>
    <row r="659" spans="1:3" ht="14.25" customHeight="1" x14ac:dyDescent="0.3">
      <c r="A659" s="3" t="s">
        <v>1311</v>
      </c>
      <c r="B659" s="6" t="s">
        <v>1312</v>
      </c>
      <c r="C659" s="5" t="str">
        <f ca="1">IFERROR(__xludf.DUMMYFUNCTION("GOOGLETRANSLATE(B659, ""tr"", ""en"" )"),"Avoiding even the slightest behavior that can harm someone")</f>
        <v>Avoiding even the slightest behavior that can harm someone</v>
      </c>
    </row>
    <row r="660" spans="1:3" ht="14.25" customHeight="1" x14ac:dyDescent="0.3">
      <c r="A660" s="3" t="s">
        <v>1313</v>
      </c>
      <c r="B660" s="6" t="s">
        <v>1314</v>
      </c>
      <c r="C660" s="5" t="str">
        <f ca="1">IFERROR(__xludf.DUMMYFUNCTION("GOOGLETRANSLATE(B660, ""tr"", ""en"" )"),"Not to show the slightest reaction in the face of a situation, to stay indifferent, not to take action")</f>
        <v>Not to show the slightest reaction in the face of a situation, to stay indifferent, not to take action</v>
      </c>
    </row>
    <row r="661" spans="1:3" ht="14.25" customHeight="1" x14ac:dyDescent="0.3">
      <c r="A661" s="3" t="s">
        <v>1315</v>
      </c>
      <c r="B661" s="6" t="s">
        <v>1316</v>
      </c>
      <c r="C661" s="5" t="str">
        <f ca="1">IFERROR(__xludf.DUMMYFUNCTION("GOOGLETRANSLATE(B661, ""tr"", ""en"" )"),"Very little, a little difference (stay)")</f>
        <v>Very little, a little difference (stay)</v>
      </c>
    </row>
    <row r="662" spans="1:3" ht="14.25" customHeight="1" x14ac:dyDescent="0.3">
      <c r="A662" s="3" t="s">
        <v>1317</v>
      </c>
      <c r="B662" s="6" t="s">
        <v>1318</v>
      </c>
      <c r="C662" s="5" t="str">
        <f ca="1">IFERROR(__xludf.DUMMYFUNCTION("GOOGLETRANSLATE(B662, ""tr"", ""en"" )"),"To put forward a lot of winding reasons to deceive someone, to be too hard to convince")</f>
        <v>To put forward a lot of winding reasons to deceive someone, to be too hard to convince</v>
      </c>
    </row>
    <row r="663" spans="1:3" ht="14.25" customHeight="1" x14ac:dyDescent="0.3">
      <c r="A663" s="3" t="s">
        <v>1319</v>
      </c>
      <c r="B663" s="6" t="s">
        <v>1320</v>
      </c>
      <c r="C663" s="5" t="str">
        <f ca="1">IFERROR(__xludf.DUMMYFUNCTION("GOOGLETRANSLATE(B663, ""tr"", ""en"" )"),"Someone is no longer invisible")</f>
        <v>Someone is no longer invisible</v>
      </c>
    </row>
    <row r="664" spans="1:3" ht="14.25" customHeight="1" x14ac:dyDescent="0.3">
      <c r="A664" s="3" t="s">
        <v>1321</v>
      </c>
      <c r="B664" s="6" t="s">
        <v>1322</v>
      </c>
      <c r="C664" s="5" t="str">
        <f ca="1">IFERROR(__xludf.DUMMYFUNCTION("GOOGLETRANSLATE(B664, ""tr"", ""en"" )"),"To deal with many different jobs, to have many relationships, to have secret relationships")</f>
        <v>To deal with many different jobs, to have many relationships, to have secret relationships</v>
      </c>
    </row>
    <row r="665" spans="1:3" ht="14.25" customHeight="1" x14ac:dyDescent="0.3">
      <c r="A665" s="3" t="s">
        <v>1323</v>
      </c>
      <c r="B665" s="6" t="s">
        <v>1324</v>
      </c>
      <c r="C665" s="5" t="str">
        <f ca="1">IFERROR(__xludf.DUMMYFUNCTION("GOOGLETRANSLATE(B665, ""tr"", ""en"" )"),"To reject a good situation, not knowing the value; not to want, not to evaluate")</f>
        <v>To reject a good situation, not knowing the value; not to want, not to evaluate</v>
      </c>
    </row>
    <row r="666" spans="1:3" ht="14.25" customHeight="1" x14ac:dyDescent="0.3">
      <c r="A666" s="3" t="s">
        <v>1325</v>
      </c>
      <c r="B666" s="6" t="s">
        <v>1326</v>
      </c>
      <c r="C666" s="5" t="str">
        <f ca="1">IFERROR(__xludf.DUMMYFUNCTION("GOOGLETRANSLATE(B666, ""tr"", ""en"" )"),"Taking lessons from an event, a story told")</f>
        <v>Taking lessons from an event, a story told</v>
      </c>
    </row>
    <row r="667" spans="1:3" ht="14.25" customHeight="1" x14ac:dyDescent="0.3">
      <c r="A667" s="3" t="s">
        <v>1327</v>
      </c>
      <c r="B667" s="6" t="s">
        <v>1328</v>
      </c>
      <c r="C667" s="5" t="str">
        <f ca="1">IFERROR(__xludf.DUMMYFUNCTION("GOOGLETRANSLATE(B667, ""tr"", ""en"" )"),"In poverty, barely and with difficulty (getting along)")</f>
        <v>In poverty, barely and with difficulty (getting along)</v>
      </c>
    </row>
    <row r="668" spans="1:3" ht="14.25" customHeight="1" x14ac:dyDescent="0.3">
      <c r="A668" s="3" t="s">
        <v>1329</v>
      </c>
      <c r="B668" s="6" t="s">
        <v>1330</v>
      </c>
      <c r="C668" s="5" t="str">
        <f ca="1">IFERROR(__xludf.DUMMYFUNCTION("GOOGLETRANSLATE(B668, ""tr"", ""en"" )"),"To be in the most appropriate time, to be fulfilled by the required and desired conditions, to come to the desired situation")</f>
        <v>To be in the most appropriate time, to be fulfilled by the required and desired conditions, to come to the desired situation</v>
      </c>
    </row>
    <row r="669" spans="1:3" ht="14.25" customHeight="1" x14ac:dyDescent="0.3">
      <c r="A669" s="3" t="s">
        <v>1331</v>
      </c>
      <c r="B669" s="6" t="s">
        <v>1332</v>
      </c>
      <c r="C669" s="5" t="str">
        <f ca="1">IFERROR(__xludf.DUMMYFUNCTION("GOOGLETRANSLATE(B669, ""tr"", ""en"" )"),"A lot of noise and fuss somewhere, to be a hurry")</f>
        <v>A lot of noise and fuss somewhere, to be a hurry</v>
      </c>
    </row>
    <row r="670" spans="1:3" ht="14.25" customHeight="1" x14ac:dyDescent="0.3">
      <c r="A670" s="3" t="s">
        <v>1333</v>
      </c>
      <c r="B670" s="6" t="s">
        <v>1334</v>
      </c>
      <c r="C670" s="5" t="str">
        <f ca="1">IFERROR(__xludf.DUMMYFUNCTION("GOOGLETRANSLATE(B670, ""tr"", ""en"" )"),"Embarrassing from color to color, changing the color of your face with the effect of some emotions")</f>
        <v>Embarrassing from color to color, changing the color of your face with the effect of some emotions</v>
      </c>
    </row>
    <row r="671" spans="1:3" ht="14.25" customHeight="1" x14ac:dyDescent="0.3">
      <c r="A671" s="3" t="s">
        <v>1335</v>
      </c>
      <c r="B671" s="6" t="s">
        <v>1336</v>
      </c>
      <c r="C671" s="5" t="str">
        <f ca="1">IFERROR(__xludf.DUMMYFUNCTION("GOOGLETRANSLATE(B671, ""tr"", ""en"" )"),"Leading to a big, extreme, noisy fight in a matter; start a loud debate")</f>
        <v>Leading to a big, extreme, noisy fight in a matter; start a loud debate</v>
      </c>
    </row>
    <row r="672" spans="1:3" ht="14.25" customHeight="1" x14ac:dyDescent="0.3">
      <c r="A672" s="3" t="s">
        <v>1337</v>
      </c>
      <c r="B672" s="6" t="s">
        <v>1338</v>
      </c>
      <c r="C672" s="5" t="str">
        <f ca="1">IFERROR(__xludf.DUMMYFUNCTION("GOOGLETRANSLATE(B672, ""tr"", ""en"" )"),"An important element that depends on it, the most important point that should be emphasized, authority or place")</f>
        <v>An important element that depends on it, the most important point that should be emphasized, authority or place</v>
      </c>
    </row>
    <row r="673" spans="1:3" ht="14.25" customHeight="1" x14ac:dyDescent="0.3">
      <c r="A673" s="3" t="s">
        <v>1339</v>
      </c>
      <c r="B673" s="6" t="s">
        <v>1340</v>
      </c>
      <c r="C673" s="5" t="str">
        <f ca="1">IFERROR(__xludf.DUMMYFUNCTION("GOOGLETRANSLATE(B673, ""tr"", ""en"" )"),"Not waiting for help and goodness from anyone, not to be under anyone's gratitude")</f>
        <v>Not waiting for help and goodness from anyone, not to be under anyone's gratitude</v>
      </c>
    </row>
    <row r="674" spans="1:3" ht="14.25" customHeight="1" x14ac:dyDescent="0.3">
      <c r="A674" s="3" t="s">
        <v>1341</v>
      </c>
      <c r="B674" s="6" t="s">
        <v>1342</v>
      </c>
      <c r="C674" s="5" t="str">
        <f ca="1">IFERROR(__xludf.DUMMYFUNCTION("GOOGLETRANSLATE(B674, ""tr"", ""en"" )"),"Shame, to reveal crimes and flaws, hidden corruption; explain, tell")</f>
        <v>Shame, to reveal crimes and flaws, hidden corruption; explain, tell</v>
      </c>
    </row>
    <row r="675" spans="1:3" ht="14.25" customHeight="1" x14ac:dyDescent="0.3">
      <c r="A675" s="3" t="s">
        <v>1343</v>
      </c>
      <c r="B675" s="6" t="s">
        <v>1344</v>
      </c>
      <c r="C675" s="5" t="str">
        <f ca="1">IFERROR(__xludf.DUMMYFUNCTION("GOOGLETRANSLATE(B675, ""tr"", ""en"" )"),"To make an illegal job as if it were legal by taking advantage of some gaps")</f>
        <v>To make an illegal job as if it were legal by taking advantage of some gaps</v>
      </c>
    </row>
    <row r="676" spans="1:3" ht="14.25" customHeight="1" x14ac:dyDescent="0.3">
      <c r="A676" s="3" t="s">
        <v>1345</v>
      </c>
      <c r="B676" s="6" t="s">
        <v>1346</v>
      </c>
      <c r="C676" s="5" t="str">
        <f ca="1">IFERROR(__xludf.DUMMYFUNCTION("GOOGLETRANSLATE(B676, ""tr"", ""en"" )"),"A hidden job, then starting to be known by everyone")</f>
        <v>A hidden job, then starting to be known by everyone</v>
      </c>
    </row>
    <row r="677" spans="1:3" ht="14.25" customHeight="1" x14ac:dyDescent="0.3">
      <c r="A677" s="3" t="s">
        <v>1347</v>
      </c>
      <c r="B677" s="6" t="s">
        <v>1348</v>
      </c>
      <c r="C677" s="5" t="str">
        <f ca="1">IFERROR(__xludf.DUMMYFUNCTION("GOOGLETRANSLATE(B677, ""tr"", ""en"" )"),"Wandering around or looking at the place where he is desired to look at it, wandering around to understand what is happening")</f>
        <v>Wandering around or looking at the place where he is desired to look at it, wandering around to understand what is happening</v>
      </c>
    </row>
    <row r="678" spans="1:3" ht="14.25" customHeight="1" x14ac:dyDescent="0.3">
      <c r="A678" s="3" t="s">
        <v>1349</v>
      </c>
      <c r="B678" s="6" t="s">
        <v>1350</v>
      </c>
      <c r="C678" s="5" t="str">
        <f ca="1">IFERROR(__xludf.DUMMYFUNCTION("GOOGLETRANSLATE(B678, ""tr"", ""en"" )"),"To help, to observe, to take a person under protection")</f>
        <v>To help, to observe, to take a person under protection</v>
      </c>
    </row>
    <row r="679" spans="1:3" ht="14.25" customHeight="1" x14ac:dyDescent="0.3">
      <c r="A679" s="3" t="s">
        <v>1351</v>
      </c>
      <c r="B679" s="6" t="s">
        <v>1352</v>
      </c>
      <c r="C679" s="5" t="str">
        <f ca="1">IFERROR(__xludf.DUMMYFUNCTION("GOOGLETRANSLATE(B679, ""tr"", ""en"" )"),"To be proud of the praise made to him or his relatives, to be grown and boast")</f>
        <v>To be proud of the praise made to him or his relatives, to be grown and boast</v>
      </c>
    </row>
    <row r="680" spans="1:3" ht="14.25" customHeight="1" x14ac:dyDescent="0.3">
      <c r="A680" s="3" t="s">
        <v>1353</v>
      </c>
      <c r="B680" s="6" t="s">
        <v>1354</v>
      </c>
      <c r="C680" s="5" t="str">
        <f ca="1">IFERROR(__xludf.DUMMYFUNCTION("GOOGLETRANSLATE(B680, ""tr"", ""en"" )"),"Falling into a helpless situation")</f>
        <v>Falling into a helpless situation</v>
      </c>
    </row>
    <row r="681" spans="1:3" ht="14.25" customHeight="1" x14ac:dyDescent="0.3">
      <c r="A681" s="3" t="s">
        <v>1355</v>
      </c>
      <c r="B681" s="6" t="s">
        <v>1356</v>
      </c>
      <c r="C681" s="5" t="str">
        <f ca="1">IFERROR(__xludf.DUMMYFUNCTION("GOOGLETRANSLATE(B681, ""tr"", ""en"" )"),"To face what he is worried about, worried, does not want to have")</f>
        <v>To face what he is worried about, worried, does not want to have</v>
      </c>
    </row>
    <row r="682" spans="1:3" ht="14.25" customHeight="1" x14ac:dyDescent="0.3">
      <c r="A682" s="3" t="s">
        <v>1357</v>
      </c>
      <c r="B682" s="6" t="s">
        <v>1358</v>
      </c>
      <c r="C682" s="5" t="str">
        <f ca="1">IFERROR(__xludf.DUMMYFUNCTION("GOOGLETRANSLATE(B682, ""tr"", ""en"" )"),"To listen without thinking, understanding anything, without understanding what it is called")</f>
        <v>To listen without thinking, understanding anything, without understanding what it is called</v>
      </c>
    </row>
    <row r="683" spans="1:3" ht="14.25" customHeight="1" x14ac:dyDescent="0.3">
      <c r="A683" s="3" t="s">
        <v>1359</v>
      </c>
      <c r="B683" s="6" t="s">
        <v>1360</v>
      </c>
      <c r="C683" s="5" t="str">
        <f ca="1">IFERROR(__xludf.DUMMYFUNCTION("GOOGLETRANSLATE(B683, ""tr"", ""en"" )"),"To resolve the dispute with difficulty and to analyze on the basis of superior power, to terminate")</f>
        <v>To resolve the dispute with difficulty and to analyze on the basis of superior power, to terminate</v>
      </c>
    </row>
    <row r="684" spans="1:3" ht="14.25" customHeight="1" x14ac:dyDescent="0.3">
      <c r="A684" s="3" t="s">
        <v>1361</v>
      </c>
      <c r="B684" s="6" t="s">
        <v>1362</v>
      </c>
      <c r="C684" s="5" t="str">
        <f ca="1">IFERROR(__xludf.DUMMYFUNCTION("GOOGLETRANSLATE(B684, ""tr"", ""en"" )"),"To settle somewhere, to settle")</f>
        <v>To settle somewhere, to settle</v>
      </c>
    </row>
    <row r="685" spans="1:3" ht="14.25" customHeight="1" x14ac:dyDescent="0.3">
      <c r="A685" s="3" t="s">
        <v>1363</v>
      </c>
      <c r="B685" s="6" t="s">
        <v>1364</v>
      </c>
      <c r="C685" s="5" t="str">
        <f ca="1">IFERROR(__xludf.DUMMYFUNCTION("GOOGLETRANSLATE(B685, ""tr"", ""en"" )"),"To engage, to make difficulties, to prevent")</f>
        <v>To engage, to make difficulties, to prevent</v>
      </c>
    </row>
    <row r="686" spans="1:3" ht="14.25" customHeight="1" x14ac:dyDescent="0.3">
      <c r="A686" s="3" t="s">
        <v>1365</v>
      </c>
      <c r="B686" s="6" t="s">
        <v>1366</v>
      </c>
      <c r="C686" s="5" t="str">
        <f ca="1">IFERROR(__xludf.DUMMYFUNCTION("GOOGLETRANSLATE(B686, ""tr"", ""en"" )"),"Irregular and incompatible effortlessly unaware of each other in a way that cannot be obtained and block each other")</f>
        <v>Irregular and incompatible effortlessly unaware of each other in a way that cannot be obtained and block each other</v>
      </c>
    </row>
    <row r="687" spans="1:3" ht="14.25" customHeight="1" x14ac:dyDescent="0.3">
      <c r="A687" s="3" t="s">
        <v>1367</v>
      </c>
      <c r="B687" s="6" t="s">
        <v>1368</v>
      </c>
      <c r="C687" s="5" t="str">
        <f ca="1">IFERROR(__xludf.DUMMYFUNCTION("GOOGLETRANSLATE(B687, ""tr"", ""en"" )"),"Prevent")</f>
        <v>Prevent</v>
      </c>
    </row>
    <row r="688" spans="1:3" ht="14.25" customHeight="1" x14ac:dyDescent="0.3">
      <c r="A688" s="3" t="s">
        <v>1369</v>
      </c>
      <c r="B688" s="6" t="s">
        <v>1370</v>
      </c>
      <c r="C688" s="5" t="str">
        <f ca="1">IFERROR(__xludf.DUMMYFUNCTION("GOOGLETRANSLATE(B688, ""tr"", ""en"" )"),"Without thinking and moving, calculating how to conclude, without paying attention")</f>
        <v>Without thinking and moving, calculating how to conclude, without paying attention</v>
      </c>
    </row>
    <row r="689" spans="1:3" ht="14.25" customHeight="1" x14ac:dyDescent="0.3">
      <c r="A689" s="3" t="s">
        <v>1371</v>
      </c>
      <c r="B689" s="6" t="s">
        <v>1372</v>
      </c>
      <c r="C689" s="5" t="str">
        <f ca="1">IFERROR(__xludf.DUMMYFUNCTION("GOOGLETRANSLATE(B689, ""tr"", ""en"" )"),"To defend someone's case more than him")</f>
        <v>To defend someone's case more than him</v>
      </c>
    </row>
    <row r="690" spans="1:3" ht="14.25" customHeight="1" x14ac:dyDescent="0.3">
      <c r="A690" s="3" t="s">
        <v>1373</v>
      </c>
      <c r="B690" s="6" t="s">
        <v>1374</v>
      </c>
      <c r="C690" s="5" t="str">
        <f ca="1">IFERROR(__xludf.DUMMYFUNCTION("GOOGLETRANSLATE(B690, ""tr"", ""en"" )"),"To take a refuge for someone in need, protect him")</f>
        <v>To take a refuge for someone in need, protect him</v>
      </c>
    </row>
    <row r="691" spans="1:3" ht="14.25" customHeight="1" x14ac:dyDescent="0.3">
      <c r="A691" s="3" t="s">
        <v>1375</v>
      </c>
      <c r="B691" s="6" t="s">
        <v>1376</v>
      </c>
      <c r="C691" s="5" t="str">
        <f ca="1">IFERROR(__xludf.DUMMYFUNCTION("GOOGLETRANSLATE(B691, ""tr"", ""en"" )"),"All alone, alone")</f>
        <v>All alone, alone</v>
      </c>
    </row>
    <row r="692" spans="1:3" ht="14.25" customHeight="1" x14ac:dyDescent="0.3">
      <c r="A692" s="3" t="s">
        <v>1377</v>
      </c>
      <c r="B692" s="6" t="s">
        <v>1378</v>
      </c>
      <c r="C692" s="5" t="str">
        <f ca="1">IFERROR(__xludf.DUMMYFUNCTION("GOOGLETRANSLATE(B692, ""tr"", ""en"" )"),"Quickly informed what is happening, who knows about almost everything")</f>
        <v>Quickly informed what is happening, who knows about almost everything</v>
      </c>
    </row>
    <row r="693" spans="1:3" ht="14.25" customHeight="1" x14ac:dyDescent="0.3">
      <c r="A693" s="3" t="s">
        <v>1379</v>
      </c>
      <c r="B693" s="6" t="s">
        <v>1380</v>
      </c>
      <c r="C693" s="5" t="str">
        <f ca="1">IFERROR(__xludf.DUMMYFUNCTION("GOOGLETRANSLATE(B693, ""tr"", ""en"" )"),"The word to be said, the future news carefully (wait)")</f>
        <v>The word to be said, the future news carefully (wait)</v>
      </c>
    </row>
    <row r="694" spans="1:3" ht="14.25" customHeight="1" x14ac:dyDescent="0.3">
      <c r="A694" s="3" t="s">
        <v>1381</v>
      </c>
      <c r="B694" s="6" t="s">
        <v>1382</v>
      </c>
      <c r="C694" s="5" t="str">
        <f ca="1">IFERROR(__xludf.DUMMYFUNCTION("GOOGLETRANSLATE(B694, ""tr"", ""en"" )"),"A word, while a news is told to someone else, hearing itself like this")</f>
        <v>A word, while a news is told to someone else, hearing itself like this</v>
      </c>
    </row>
    <row r="695" spans="1:3" ht="14.25" customHeight="1" x14ac:dyDescent="0.3">
      <c r="A695" s="3" t="s">
        <v>1383</v>
      </c>
      <c r="B695" s="6" t="s">
        <v>1384</v>
      </c>
      <c r="C695" s="5" t="str">
        <f ca="1">IFERROR(__xludf.DUMMYFUNCTION("GOOGLETRANSLATE(B695, ""tr"", ""en"" )"),"Hearing news that disrupts your comfort, falling into a cramped situation")</f>
        <v>Hearing news that disrupts your comfort, falling into a cramped situation</v>
      </c>
    </row>
    <row r="696" spans="1:3" ht="14.25" customHeight="1" x14ac:dyDescent="0.3">
      <c r="A696" s="3" t="s">
        <v>1385</v>
      </c>
      <c r="B696" s="6" t="s">
        <v>1386</v>
      </c>
      <c r="C696" s="5" t="str">
        <f ca="1">IFERROR(__xludf.DUMMYFUNCTION("GOOGLETRANSLATE(B696, ""tr"", ""en"" )"),"Not to forget a job that happened to him, from the event he sees")</f>
        <v>Not to forget a job that happened to him, from the event he sees</v>
      </c>
    </row>
    <row r="697" spans="1:3" ht="14.25" customHeight="1" x14ac:dyDescent="0.3">
      <c r="A697" s="3" t="s">
        <v>1387</v>
      </c>
      <c r="B697" s="6" t="s">
        <v>1388</v>
      </c>
      <c r="C697" s="5" t="str">
        <f ca="1">IFERROR(__xludf.DUMMYFUNCTION("GOOGLETRANSLATE(B697, ""tr"", ""en"" )"),"Listening by giving all the attention, paying attention to what is said")</f>
        <v>Listening by giving all the attention, paying attention to what is said</v>
      </c>
    </row>
    <row r="698" spans="1:3" ht="14.25" customHeight="1" x14ac:dyDescent="0.3">
      <c r="A698" s="3" t="s">
        <v>1389</v>
      </c>
      <c r="B698" s="6" t="s">
        <v>1390</v>
      </c>
      <c r="C698" s="5" t="str">
        <f ca="1">IFERROR(__xludf.DUMMYFUNCTION("GOOGLETRANSLATE(B698, ""tr"", ""en"" )"),"Not to mind, not to listen")</f>
        <v>Not to mind, not to listen</v>
      </c>
    </row>
    <row r="699" spans="1:3" ht="14.25" customHeight="1" x14ac:dyDescent="0.3">
      <c r="A699" s="3" t="s">
        <v>1391</v>
      </c>
      <c r="B699" s="6" t="s">
        <v>1392</v>
      </c>
      <c r="C699" s="5" t="str">
        <f ca="1">IFERROR(__xludf.DUMMYFUNCTION("GOOGLETRANSLATE(B699, ""tr"", ""en"" )"),"Semi -and -a -half information obtained")</f>
        <v>Semi -and -a -half information obtained</v>
      </c>
    </row>
    <row r="700" spans="1:3" ht="14.25" customHeight="1" x14ac:dyDescent="0.3">
      <c r="A700" s="3" t="s">
        <v>1393</v>
      </c>
      <c r="B700" s="6" t="s">
        <v>1394</v>
      </c>
      <c r="C700" s="5" t="str">
        <f ca="1">IFERROR(__xludf.DUMMYFUNCTION("GOOGLETRANSLATE(B700, ""tr"", ""en"" )"),"Listening without trying not to show")</f>
        <v>Listening without trying not to show</v>
      </c>
    </row>
    <row r="701" spans="1:3" ht="14.25" customHeight="1" x14ac:dyDescent="0.3">
      <c r="A701" s="3" t="s">
        <v>1395</v>
      </c>
      <c r="B701" s="6" t="s">
        <v>1396</v>
      </c>
      <c r="C701" s="5" t="str">
        <f ca="1">IFERROR(__xludf.DUMMYFUNCTION("GOOGLETRANSLATE(B701, ""tr"", ""en"" )"),"Very good, listening to all your attention; Trying to hear by taking his attention")</f>
        <v>Very good, listening to all your attention; Trying to hear by taking his attention</v>
      </c>
    </row>
    <row r="702" spans="1:3" ht="14.25" customHeight="1" x14ac:dyDescent="0.3">
      <c r="A702" s="3" t="s">
        <v>1397</v>
      </c>
      <c r="B702" s="6" t="s">
        <v>1398</v>
      </c>
      <c r="C702" s="5" t="str">
        <f ca="1">IFERROR(__xludf.DUMMYFUNCTION("GOOGLETRANSLATE(B702, ""tr"", ""en"" )"),"Commemorate someone with good emotions")</f>
        <v>Commemorate someone with good emotions</v>
      </c>
    </row>
    <row r="703" spans="1:3" ht="14.25" customHeight="1" x14ac:dyDescent="0.3">
      <c r="A703" s="3" t="s">
        <v>1399</v>
      </c>
      <c r="B703" s="6" t="s">
        <v>1400</v>
      </c>
      <c r="C703" s="5" t="str">
        <f ca="1">IFERROR(__xludf.DUMMYFUNCTION("GOOGLETRANSLATE(B703, ""tr"", ""en"" )"),"To be connected to the heart in complete accuracy, to be ready to make the sacrifice required by commitment")</f>
        <v>To be connected to the heart in complete accuracy, to be ready to make the sacrifice required by commitment</v>
      </c>
    </row>
    <row r="704" spans="1:3" ht="14.25" customHeight="1" x14ac:dyDescent="0.3">
      <c r="A704" s="3" t="s">
        <v>1401</v>
      </c>
      <c r="B704" s="6" t="s">
        <v>1402</v>
      </c>
      <c r="C704" s="5" t="str">
        <f ca="1">IFERROR(__xludf.DUMMYFUNCTION("GOOGLETRANSLATE(B704, ""tr"", ""en"" )"),"Finding a flaw, an excuse")</f>
        <v>Finding a flaw, an excuse</v>
      </c>
    </row>
    <row r="705" spans="1:3" ht="14.25" customHeight="1" x14ac:dyDescent="0.3">
      <c r="A705" s="3" t="s">
        <v>1403</v>
      </c>
      <c r="B705" s="6" t="s">
        <v>1404</v>
      </c>
      <c r="C705" s="5" t="str">
        <f ca="1">IFERROR(__xludf.DUMMYFUNCTION("GOOGLETRANSLATE(B705, ""tr"", ""en"" )"),"Establishing a trap to deceive someone, organizing a secret job")</f>
        <v>Establishing a trap to deceive someone, organizing a secret job</v>
      </c>
    </row>
    <row r="706" spans="1:3" ht="14.25" customHeight="1" x14ac:dyDescent="0.3">
      <c r="A706" s="3" t="s">
        <v>1405</v>
      </c>
      <c r="B706" s="6" t="s">
        <v>1406</v>
      </c>
      <c r="C706" s="5" t="str">
        <f ca="1">IFERROR(__xludf.DUMMYFUNCTION("GOOGLETRANSLATE(B706, ""tr"", ""en"" )"),"Do what he wants to do with plenty and get his enthusiasm")</f>
        <v>Do what he wants to do with plenty and get his enthusiasm</v>
      </c>
    </row>
    <row r="707" spans="1:3" ht="14.25" customHeight="1" x14ac:dyDescent="0.3">
      <c r="A707" s="3" t="s">
        <v>1407</v>
      </c>
      <c r="B707" s="6" t="s">
        <v>1408</v>
      </c>
      <c r="C707" s="5" t="str">
        <f ca="1">IFERROR(__xludf.DUMMYFUNCTION("GOOGLETRANSLATE(B707, ""tr"", ""en"" )"),"Convincing, unnecessary, unfounded words (to say)")</f>
        <v>Convincing, unnecessary, unfounded words (to say)</v>
      </c>
    </row>
    <row r="708" spans="1:3" ht="14.25" customHeight="1" x14ac:dyDescent="0.3">
      <c r="A708" s="3" t="s">
        <v>1409</v>
      </c>
      <c r="B708" s="6" t="s">
        <v>1410</v>
      </c>
      <c r="C708" s="5" t="str">
        <f ca="1">IFERROR(__xludf.DUMMYFUNCTION("GOOGLETRANSLATE(B708, ""tr"", ""en"" )"),"Accusation without any evidence")</f>
        <v>Accusation without any evidence</v>
      </c>
    </row>
    <row r="709" spans="1:3" ht="14.25" customHeight="1" x14ac:dyDescent="0.3">
      <c r="A709" s="3" t="s">
        <v>1411</v>
      </c>
      <c r="B709" s="6" t="s">
        <v>1412</v>
      </c>
      <c r="C709" s="5" t="str">
        <f ca="1">IFERROR(__xludf.DUMMYFUNCTION("GOOGLETRANSLATE(B709, ""tr"", ""en"" )"),"Mindless, stupid, fool")</f>
        <v>Mindless, stupid, fool</v>
      </c>
    </row>
    <row r="710" spans="1:3" ht="14.25" customHeight="1" x14ac:dyDescent="0.3">
      <c r="A710" s="3" t="s">
        <v>1413</v>
      </c>
      <c r="B710" s="6" t="s">
        <v>1414</v>
      </c>
      <c r="C710" s="5" t="str">
        <f ca="1">IFERROR(__xludf.DUMMYFUNCTION("GOOGLETRANSLATE(B710, ""tr"", ""en"" )"),"Having a small, scratch, weak, frailless body")</f>
        <v>Having a small, scratch, weak, frailless body</v>
      </c>
    </row>
    <row r="711" spans="1:3" ht="14.25" customHeight="1" x14ac:dyDescent="0.3">
      <c r="A711" s="3" t="s">
        <v>1415</v>
      </c>
      <c r="B711" s="6" t="s">
        <v>1416</v>
      </c>
      <c r="C711" s="5" t="str">
        <f ca="1">IFERROR(__xludf.DUMMYFUNCTION("GOOGLETRANSLATE(B711, ""tr"", ""en"" )"),"Eating and drinking with the most expensive, valuable rare foods")</f>
        <v>Eating and drinking with the most expensive, valuable rare foods</v>
      </c>
    </row>
    <row r="712" spans="1:3" ht="14.25" customHeight="1" x14ac:dyDescent="0.3">
      <c r="A712" s="3" t="s">
        <v>1417</v>
      </c>
      <c r="B712" s="6" t="s">
        <v>1418</v>
      </c>
      <c r="C712" s="5" t="str">
        <f ca="1">IFERROR(__xludf.DUMMYFUNCTION("GOOGLETRANSLATE(B712, ""tr"", ""en"" )"),"Very deserted, stalk, country, where people do not visit")</f>
        <v>Very deserted, stalk, country, where people do not visit</v>
      </c>
    </row>
    <row r="713" spans="1:3" ht="14.25" customHeight="1" x14ac:dyDescent="0.3">
      <c r="A713" s="3" t="s">
        <v>1419</v>
      </c>
      <c r="B713" s="6" t="s">
        <v>1420</v>
      </c>
      <c r="C713" s="5" t="str">
        <f ca="1">IFERROR(__xludf.DUMMYFUNCTION("GOOGLETRANSLATE(B713, ""tr"", ""en"" )"),"Not allowing anyone to pass, escape; not allowing the opportunity, to be very careful for it")</f>
        <v>Not allowing anyone to pass, escape; not allowing the opportunity, to be very careful for it</v>
      </c>
    </row>
    <row r="714" spans="1:3" ht="14.25" customHeight="1" x14ac:dyDescent="0.3">
      <c r="A714" s="3" t="s">
        <v>1421</v>
      </c>
      <c r="B714" s="6" t="s">
        <v>1422</v>
      </c>
      <c r="C714" s="5" t="str">
        <f ca="1">IFERROR(__xludf.DUMMYFUNCTION("GOOGLETRANSLATE(B714, ""tr"", ""en"" )"),"Have a decrease in")</f>
        <v>Have a decrease in</v>
      </c>
    </row>
    <row r="715" spans="1:3" ht="14.25" customHeight="1" x14ac:dyDescent="0.3">
      <c r="A715" s="3" t="s">
        <v>1423</v>
      </c>
      <c r="B715" s="6" t="s">
        <v>1424</v>
      </c>
      <c r="C715" s="5" t="str">
        <f ca="1">IFERROR(__xludf.DUMMYFUNCTION("GOOGLETRANSLATE(B715, ""tr"", ""en"" )"),"Provoking someone, hurting and attacking")</f>
        <v>Provoking someone, hurting and attacking</v>
      </c>
    </row>
    <row r="716" spans="1:3" ht="14.25" customHeight="1" x14ac:dyDescent="0.3">
      <c r="A716" s="3" t="s">
        <v>1425</v>
      </c>
      <c r="B716" s="6" t="s">
        <v>1426</v>
      </c>
      <c r="C716" s="5" t="str">
        <f ca="1">IFERROR(__xludf.DUMMYFUNCTION("GOOGLETRANSLATE(B716, ""tr"", ""en"" )"),"Trying to look cute to make a fake behaviors to benefit someone")</f>
        <v>Trying to look cute to make a fake behaviors to benefit someone</v>
      </c>
    </row>
    <row r="717" spans="1:3" ht="14.25" customHeight="1" x14ac:dyDescent="0.3">
      <c r="A717" s="3" t="s">
        <v>1427</v>
      </c>
      <c r="B717" s="6" t="s">
        <v>1428</v>
      </c>
      <c r="C717" s="5" t="str">
        <f ca="1">IFERROR(__xludf.DUMMYFUNCTION("GOOGLETRANSLATE(B717, ""tr"", ""en"" )"),"To prepare the ground for someone to fall into a bad situation, disaster, damage, setting up a trap")</f>
        <v>To prepare the ground for someone to fall into a bad situation, disaster, damage, setting up a trap</v>
      </c>
    </row>
    <row r="718" spans="1:3" ht="14.25" customHeight="1" x14ac:dyDescent="0.3">
      <c r="A718" s="3" t="s">
        <v>1429</v>
      </c>
      <c r="B718" s="6" t="s">
        <v>1430</v>
      </c>
      <c r="C718" s="5" t="str">
        <f ca="1">IFERROR(__xludf.DUMMYFUNCTION("GOOGLETRANSLATE(B718, ""tr"", ""en"" )"),"To be very surprised, to be amazed, to freeze, to say nothing")</f>
        <v>To be very surprised, to be amazed, to freeze, to say nothing</v>
      </c>
    </row>
    <row r="719" spans="1:3" ht="14.25" customHeight="1" x14ac:dyDescent="0.3">
      <c r="A719" s="3" t="s">
        <v>1431</v>
      </c>
      <c r="B719" s="6" t="s">
        <v>1432</v>
      </c>
      <c r="C719" s="5" t="str">
        <f ca="1">IFERROR(__xludf.DUMMYFUNCTION("GOOGLETRANSLATE(B719, ""tr"", ""en"" )"),"Breaking your dignity, shaking your reputation with someone and lowering your value")</f>
        <v>Breaking your dignity, shaking your reputation with someone and lowering your value</v>
      </c>
    </row>
    <row r="720" spans="1:3" ht="14.25" customHeight="1" x14ac:dyDescent="0.3">
      <c r="A720" s="3" t="s">
        <v>1433</v>
      </c>
      <c r="B720" s="6" t="s">
        <v>1434</v>
      </c>
      <c r="C720" s="5" t="str">
        <f ca="1">IFERROR(__xludf.DUMMYFUNCTION("GOOGLETRANSLATE(B720, ""tr"", ""en"" )"),"Not to care, not to value")</f>
        <v>Not to care, not to value</v>
      </c>
    </row>
    <row r="721" spans="1:3" ht="14.25" customHeight="1" x14ac:dyDescent="0.3">
      <c r="A721" s="3" t="s">
        <v>1435</v>
      </c>
      <c r="B721" s="6" t="s">
        <v>1436</v>
      </c>
      <c r="C721" s="5" t="str">
        <f ca="1">IFERROR(__xludf.DUMMYFUNCTION("GOOGLETRANSLATE(B721, ""tr"", ""en"" )"),"To be very cunning; play")</f>
        <v>To be very cunning; play</v>
      </c>
    </row>
    <row r="722" spans="1:3" ht="14.25" customHeight="1" x14ac:dyDescent="0.3">
      <c r="A722" s="3" t="s">
        <v>1437</v>
      </c>
      <c r="B722" s="6" t="s">
        <v>1438</v>
      </c>
      <c r="C722" s="5" t="str">
        <f ca="1">IFERROR(__xludf.DUMMYFUNCTION("GOOGLETRANSLATE(B722, ""tr"", ""en"" )"),"Break down, disrupting")</f>
        <v>Break down, disrupting</v>
      </c>
    </row>
    <row r="723" spans="1:3" ht="14.25" customHeight="1" x14ac:dyDescent="0.3">
      <c r="A723" s="3" t="s">
        <v>1439</v>
      </c>
      <c r="B723" s="6" t="s">
        <v>1440</v>
      </c>
      <c r="C723" s="5" t="str">
        <f ca="1">IFERROR(__xludf.DUMMYFUNCTION("GOOGLETRANSLATE(B723, ""tr"", ""en"" )"),"Throw the color of your face with excitement and fear, fading")</f>
        <v>Throw the color of your face with excitement and fear, fading</v>
      </c>
    </row>
    <row r="724" spans="1:3" ht="14.25" customHeight="1" x14ac:dyDescent="0.3">
      <c r="A724" s="3" t="s">
        <v>1441</v>
      </c>
      <c r="B724" s="6" t="s">
        <v>1442</v>
      </c>
      <c r="C724" s="5" t="str">
        <f ca="1">IFERROR(__xludf.DUMMYFUNCTION("GOOGLETRANSLATE(B724, ""tr"", ""en"" )"),"To finish and destroy something completely, spend and consume, not to perish and leave anything")</f>
        <v>To finish and destroy something completely, spend and consume, not to perish and leave anything</v>
      </c>
    </row>
    <row r="725" spans="1:3" ht="14.25" customHeight="1" x14ac:dyDescent="0.3">
      <c r="A725" s="3" t="s">
        <v>1443</v>
      </c>
      <c r="B725" s="6" t="s">
        <v>1444</v>
      </c>
      <c r="C725" s="5" t="str">
        <f ca="1">IFERROR(__xludf.DUMMYFUNCTION("GOOGLETRANSLATE(B725, ""tr"", ""en"" )"),"Not to come to the game, not to fall into trap, not to be deceived by a cunning trick")</f>
        <v>Not to come to the game, not to fall into trap, not to be deceived by a cunning trick</v>
      </c>
    </row>
    <row r="726" spans="1:3" ht="14.25" customHeight="1" x14ac:dyDescent="0.3">
      <c r="A726" s="3" t="s">
        <v>1445</v>
      </c>
      <c r="B726" s="6" t="s">
        <v>1446</v>
      </c>
      <c r="C726" s="5" t="str">
        <f ca="1">IFERROR(__xludf.DUMMYFUNCTION("GOOGLETRANSLATE(B726, ""tr"", ""en"" )"),"In the past, which had been seen in bad situations, entered into bad jobs")</f>
        <v>In the past, which had been seen in bad situations, entered into bad jobs</v>
      </c>
    </row>
    <row r="727" spans="1:3" ht="14.25" customHeight="1" x14ac:dyDescent="0.3">
      <c r="A727" s="3" t="s">
        <v>1447</v>
      </c>
      <c r="B727" s="6" t="s">
        <v>1448</v>
      </c>
      <c r="C727" s="5" t="str">
        <f ca="1">IFERROR(__xludf.DUMMYFUNCTION("GOOGLETRANSLATE(B727, ""tr"", ""en"" )"),"Don't get too angry, get angry, to leave fire")</f>
        <v>Don't get too angry, get angry, to leave fire</v>
      </c>
    </row>
    <row r="728" spans="1:3" ht="14.25" customHeight="1" x14ac:dyDescent="0.3">
      <c r="A728" s="3" t="s">
        <v>1449</v>
      </c>
      <c r="B728" s="6" t="s">
        <v>1450</v>
      </c>
      <c r="C728" s="5" t="str">
        <f ca="1">IFERROR(__xludf.DUMMYFUNCTION("GOOGLETRANSLATE(B728, ""tr"", ""en"" )"),"Not allowing someone to speak and making the issue incomprehensible with unnecessary and empty words, bringing it to noise and extending")</f>
        <v>Not allowing someone to speak and making the issue incomprehensible with unnecessary and empty words, bringing it to noise and extending</v>
      </c>
    </row>
    <row r="729" spans="1:3" ht="14.25" customHeight="1" x14ac:dyDescent="0.3">
      <c r="A729" s="3" t="s">
        <v>1451</v>
      </c>
      <c r="B729" s="6" t="s">
        <v>1452</v>
      </c>
      <c r="C729" s="5" t="str">
        <f ca="1">IFERROR(__xludf.DUMMYFUNCTION("GOOGLETRANSLATE(B729, ""tr"", ""en"" )"),"To respond to every touching word said during a debate, not to be crushed under the word")</f>
        <v>To respond to every touching word said during a debate, not to be crushed under the word</v>
      </c>
    </row>
    <row r="730" spans="1:3" ht="14.25" customHeight="1" x14ac:dyDescent="0.3">
      <c r="A730" s="3" t="s">
        <v>1453</v>
      </c>
      <c r="B730" s="6" t="s">
        <v>1454</v>
      </c>
      <c r="C730" s="5" t="str">
        <f ca="1">IFERROR(__xludf.DUMMYFUNCTION("GOOGLETRANSLATE(B730, ""tr"", ""en"" )"),"Satisfaction with touching words, to hear from a distance")</f>
        <v>Satisfaction with touching words, to hear from a distance</v>
      </c>
    </row>
    <row r="731" spans="1:3" ht="14.25" customHeight="1" x14ac:dyDescent="0.3">
      <c r="A731" s="3" t="s">
        <v>1455</v>
      </c>
      <c r="B731" s="6" t="s">
        <v>1456</v>
      </c>
      <c r="C731" s="5" t="str">
        <f ca="1">IFERROR(__xludf.DUMMYFUNCTION("GOOGLETRANSLATE(B731, ""tr"", ""en"" )"),"To keep someone from work by talking and telling unnecessary issues")</f>
        <v>To keep someone from work by talking and telling unnecessary issues</v>
      </c>
    </row>
    <row r="732" spans="1:3" ht="14.25" customHeight="1" x14ac:dyDescent="0.3">
      <c r="A732" s="3" t="s">
        <v>1457</v>
      </c>
      <c r="B732" s="6" t="s">
        <v>1458</v>
      </c>
      <c r="C732" s="5" t="str">
        <f ca="1">IFERROR(__xludf.DUMMYFUNCTION("GOOGLETRANSLATE(B732, ""tr"", ""en"" )"),"Not allowing someone to finish, leaving him silence, preventing him from talking")</f>
        <v>Not allowing someone to finish, leaving him silence, preventing him from talking</v>
      </c>
    </row>
    <row r="733" spans="1:3" ht="14.25" customHeight="1" x14ac:dyDescent="0.3">
      <c r="A733" s="3" t="s">
        <v>1459</v>
      </c>
      <c r="B733" s="6" t="s">
        <v>1460</v>
      </c>
      <c r="C733" s="5" t="str">
        <f ca="1">IFERROR(__xludf.DUMMYFUNCTION("GOOGLETRANSLATE(B733, ""tr"", ""en"" )"),"Not being able to say what you want to say clearly, to talk about it")</f>
        <v>Not being able to say what you want to say clearly, to talk about it</v>
      </c>
    </row>
    <row r="734" spans="1:3" ht="14.25" customHeight="1" x14ac:dyDescent="0.3">
      <c r="A734" s="3" t="s">
        <v>1461</v>
      </c>
      <c r="B734" s="6" t="s">
        <v>1462</v>
      </c>
      <c r="C734" s="5" t="str">
        <f ca="1">IFERROR(__xludf.DUMMYFUNCTION("GOOGLETRANSLATE(B734, ""tr"", ""en"" )"),"Not being able to find time to tell you to say, not being able to finish the conversation")</f>
        <v>Not being able to find time to tell you to say, not being able to finish the conversation</v>
      </c>
    </row>
    <row r="735" spans="1:3" ht="14.25" customHeight="1" x14ac:dyDescent="0.3">
      <c r="A735" s="3" t="s">
        <v>1463</v>
      </c>
      <c r="B735" s="6" t="s">
        <v>1464</v>
      </c>
      <c r="C735" s="5" t="str">
        <f ca="1">IFERROR(__xludf.DUMMYFUNCTION("GOOGLETRANSLATE(B735, ""tr"", ""en"" )"),"When he realizes that his speech took a objectionable form")</f>
        <v>When he realizes that his speech took a objectionable form</v>
      </c>
    </row>
    <row r="736" spans="1:3" ht="14.25" customHeight="1" x14ac:dyDescent="0.3">
      <c r="A736" s="3" t="s">
        <v>1465</v>
      </c>
      <c r="B736" s="6" t="s">
        <v>1466</v>
      </c>
      <c r="C736" s="5" t="str">
        <f ca="1">IFERROR(__xludf.DUMMYFUNCTION("GOOGLETRANSLATE(B736, ""tr"", ""en"" )"),"Consistent and logical speaking, saying words that are not inconvenient and do not break someone, to talk respectful and on -site")</f>
        <v>Consistent and logical speaking, saying words that are not inconvenient and do not break someone, to talk respectful and on -site</v>
      </c>
    </row>
    <row r="737" spans="1:3" ht="14.25" customHeight="1" x14ac:dyDescent="0.3">
      <c r="A737" s="3" t="s">
        <v>1467</v>
      </c>
      <c r="B737" s="6" t="s">
        <v>1468</v>
      </c>
      <c r="C737" s="5" t="str">
        <f ca="1">IFERROR(__xludf.DUMMYFUNCTION("GOOGLETRANSLATE(B737, ""tr"", ""en"" )"),"To be shared by someone, to be scolded")</f>
        <v>To be shared by someone, to be scolded</v>
      </c>
    </row>
    <row r="738" spans="1:3" ht="14.25" customHeight="1" x14ac:dyDescent="0.3">
      <c r="A738" s="3" t="s">
        <v>1469</v>
      </c>
      <c r="B738" s="6" t="s">
        <v>1470</v>
      </c>
      <c r="C738" s="5" t="str">
        <f ca="1">IFERROR(__xludf.DUMMYFUNCTION("GOOGLETRANSLATE(B738, ""tr"", ""en"" )"),"To bring the unpleasant words that someone says about someone to open up to that person")</f>
        <v>To bring the unpleasant words that someone says about someone to open up to that person</v>
      </c>
    </row>
    <row r="739" spans="1:3" ht="14.25" customHeight="1" x14ac:dyDescent="0.3">
      <c r="A739" s="3" t="s">
        <v>1471</v>
      </c>
      <c r="B739" s="6" t="s">
        <v>1472</v>
      </c>
      <c r="C739" s="5" t="str">
        <f ca="1">IFERROR(__xludf.DUMMYFUNCTION("GOOGLETRANSLATE(B739, ""tr"", ""en"" )"),"Not to be delayed in responding to a promise, talking without stopping")</f>
        <v>Not to be delayed in responding to a promise, talking without stopping</v>
      </c>
    </row>
    <row r="740" spans="1:3" ht="14.25" customHeight="1" x14ac:dyDescent="0.3">
      <c r="A740" s="3" t="s">
        <v>1473</v>
      </c>
      <c r="B740" s="6" t="s">
        <v>1474</v>
      </c>
      <c r="C740" s="5" t="str">
        <f ca="1">IFERROR(__xludf.DUMMYFUNCTION("GOOGLETRANSLATE(B740, ""tr"", ""en"" )"),"No excuses, objections, excuses, pauses, no opposition")</f>
        <v>No excuses, objections, excuses, pauses, no opposition</v>
      </c>
    </row>
    <row r="741" spans="1:3" ht="14.25" customHeight="1" x14ac:dyDescent="0.3">
      <c r="A741" s="3" t="s">
        <v>1475</v>
      </c>
      <c r="B741" s="6" t="s">
        <v>1476</v>
      </c>
      <c r="C741" s="5" t="str">
        <f ca="1">IFERROR(__xludf.DUMMYFUNCTION("GOOGLETRANSLATE(B741, ""tr"", ""en"" )"),"To understand what you mean at the beginning of the word, to be understanding and understanding")</f>
        <v>To understand what you mean at the beginning of the word, to be understanding and understanding</v>
      </c>
    </row>
    <row r="742" spans="1:3" ht="14.25" customHeight="1" x14ac:dyDescent="0.3">
      <c r="A742" s="3" t="s">
        <v>1477</v>
      </c>
      <c r="B742" s="6" t="s">
        <v>1478</v>
      </c>
      <c r="C742" s="5" t="str">
        <f ca="1">IFERROR(__xludf.DUMMYFUNCTION("GOOGLETRANSLATE(B742, ""tr"", ""en"" )"),"To slander a crime, to shake someone's dignity")</f>
        <v>To slander a crime, to shake someone's dignity</v>
      </c>
    </row>
    <row r="743" spans="1:3" ht="14.25" customHeight="1" x14ac:dyDescent="0.3">
      <c r="A743" s="3" t="s">
        <v>1479</v>
      </c>
      <c r="B743" s="6" t="s">
        <v>1480</v>
      </c>
      <c r="C743" s="5" t="str">
        <f ca="1">IFERROR(__xludf.DUMMYFUNCTION("GOOGLETRANSLATE(B743, ""tr"", ""en"" )"),"The person who does not attract attention from his relatives, removed by his environment")</f>
        <v>The person who does not attract attention from his relatives, removed by his environment</v>
      </c>
    </row>
    <row r="744" spans="1:3" ht="14.25" customHeight="1" x14ac:dyDescent="0.3">
      <c r="A744" s="3" t="s">
        <v>1481</v>
      </c>
      <c r="B744" s="6" t="s">
        <v>1482</v>
      </c>
      <c r="C744" s="5" t="str">
        <f ca="1">IFERROR(__xludf.DUMMYFUNCTION("GOOGLETRANSLATE(B744, ""tr"", ""en"" )"),"Not being able to swallow the bite because of any reason, pain or sadness, not to eat")</f>
        <v>Not being able to swallow the bite because of any reason, pain or sadness, not to eat</v>
      </c>
    </row>
    <row r="745" spans="1:3" ht="14.25" customHeight="1" x14ac:dyDescent="0.3">
      <c r="A745" s="3" t="s">
        <v>1483</v>
      </c>
      <c r="B745" s="6" t="s">
        <v>1484</v>
      </c>
      <c r="C745" s="5" t="str">
        <f ca="1">IFERROR(__xludf.DUMMYFUNCTION("GOOGLETRANSLATE(B745, ""tr"", ""en"" )"),"A positive event, the negative aspect that should be taken into account")</f>
        <v>A positive event, the negative aspect that should be taken into account</v>
      </c>
    </row>
    <row r="746" spans="1:3" ht="14.25" customHeight="1" x14ac:dyDescent="0.3">
      <c r="A746" s="3" t="s">
        <v>1485</v>
      </c>
      <c r="B746" s="6" t="s">
        <v>1486</v>
      </c>
      <c r="C746" s="5" t="str">
        <f ca="1">IFERROR(__xludf.DUMMYFUNCTION("GOOGLETRANSLATE(B746, ""tr"", ""en"" )"),"Short, fitnener")</f>
        <v>Short, fitnener</v>
      </c>
    </row>
    <row r="747" spans="1:3" ht="14.25" customHeight="1" x14ac:dyDescent="0.3">
      <c r="A747" s="3" t="s">
        <v>1487</v>
      </c>
      <c r="B747" s="6" t="s">
        <v>1488</v>
      </c>
      <c r="C747" s="5" t="str">
        <f ca="1">IFERROR(__xludf.DUMMYFUNCTION("GOOGLETRANSLATE(B747, ""tr"", ""en"" )"),"Too crowded")</f>
        <v>Too crowded</v>
      </c>
    </row>
    <row r="748" spans="1:3" ht="14.25" customHeight="1" x14ac:dyDescent="0.3">
      <c r="A748" s="3" t="s">
        <v>1489</v>
      </c>
      <c r="B748" s="6" t="s">
        <v>1490</v>
      </c>
      <c r="C748" s="5" t="str">
        <f ca="1">IFERROR(__xludf.DUMMYFUNCTION("GOOGLETRANSLATE(B748, ""tr"", ""en"" )"),"With great joy and enthusiasm as if it had a great wealth")</f>
        <v>With great joy and enthusiasm as if it had a great wealth</v>
      </c>
    </row>
    <row r="749" spans="1:3" ht="14.25" customHeight="1" x14ac:dyDescent="0.3">
      <c r="A749" s="3" t="s">
        <v>1491</v>
      </c>
      <c r="B749" s="6" t="s">
        <v>1492</v>
      </c>
      <c r="C749" s="5" t="str">
        <f ca="1">IFERROR(__xludf.DUMMYFUNCTION("GOOGLETRANSLATE(B749, ""tr"", ""en"" )"),"Suddenly or spontaneous")</f>
        <v>Suddenly or spontaneous</v>
      </c>
    </row>
    <row r="750" spans="1:3" ht="14.25" customHeight="1" x14ac:dyDescent="0.3">
      <c r="A750" s="3" t="s">
        <v>1493</v>
      </c>
      <c r="B750" s="6" t="s">
        <v>1494</v>
      </c>
      <c r="C750" s="5" t="str">
        <f ca="1">IFERROR(__xludf.DUMMYFUNCTION("GOOGLETRANSLATE(B750, ""tr"", ""en"" )"),"Doing things that will lead to dispute, leading to a fight")</f>
        <v>Doing things that will lead to dispute, leading to a fight</v>
      </c>
    </row>
    <row r="751" spans="1:3" ht="14.25" customHeight="1" x14ac:dyDescent="0.3">
      <c r="A751" s="3" t="s">
        <v>1495</v>
      </c>
      <c r="B751" s="6" t="s">
        <v>1496</v>
      </c>
      <c r="C751" s="5" t="str">
        <f ca="1">IFERROR(__xludf.DUMMYFUNCTION("GOOGLETRANSLATE(B751, ""tr"", ""en"" )"),"Saying non -convincing, distracting and consolation")</f>
        <v>Saying non -convincing, distracting and consolation</v>
      </c>
    </row>
    <row r="752" spans="1:3" ht="14.25" customHeight="1" x14ac:dyDescent="0.3">
      <c r="A752" s="3" t="s">
        <v>1497</v>
      </c>
      <c r="B752" s="6" t="s">
        <v>1498</v>
      </c>
      <c r="C752" s="5" t="str">
        <f ca="1">IFERROR(__xludf.DUMMYFUNCTION("GOOGLETRANSLATE(B752, ""tr"", ""en"" )"),"To fall into ridiculous situations, to be ridiculed")</f>
        <v>To fall into ridiculous situations, to be ridiculed</v>
      </c>
    </row>
    <row r="753" spans="1:3" ht="14.25" customHeight="1" x14ac:dyDescent="0.3">
      <c r="A753" s="3" t="s">
        <v>1499</v>
      </c>
      <c r="B753" s="6" t="s">
        <v>1500</v>
      </c>
      <c r="C753" s="5" t="str">
        <f ca="1">IFERROR(__xludf.DUMMYFUNCTION("GOOGLETRANSLATE(B753, ""tr"", ""en"" )"),"To emerge the real face, identity, quality")</f>
        <v>To emerge the real face, identity, quality</v>
      </c>
    </row>
    <row r="754" spans="1:3" ht="14.25" customHeight="1" x14ac:dyDescent="0.3">
      <c r="A754" s="3" t="s">
        <v>1501</v>
      </c>
      <c r="B754" s="6" t="s">
        <v>1502</v>
      </c>
      <c r="C754" s="5" t="str">
        <f ca="1">IFERROR(__xludf.DUMMYFUNCTION("GOOGLETRANSLATE(B754, ""tr"", ""en"" )"),"To spend a lot of money")</f>
        <v>To spend a lot of money</v>
      </c>
    </row>
    <row r="755" spans="1:3" ht="14.25" customHeight="1" x14ac:dyDescent="0.3">
      <c r="A755" s="3" t="s">
        <v>1503</v>
      </c>
      <c r="B755" s="6" t="s">
        <v>1504</v>
      </c>
      <c r="C755" s="5" t="str">
        <f ca="1">IFERROR(__xludf.DUMMYFUNCTION("GOOGLETRANSLATE(B755, ""tr"", ""en"" )"),"Something or nobody is in good condition")</f>
        <v>Something or nobody is in good condition</v>
      </c>
    </row>
    <row r="756" spans="1:3" ht="14.25" customHeight="1" x14ac:dyDescent="0.3">
      <c r="A756" s="3" t="s">
        <v>1505</v>
      </c>
      <c r="B756" s="6" t="s">
        <v>1506</v>
      </c>
      <c r="C756" s="5" t="str">
        <f ca="1">IFERROR(__xludf.DUMMYFUNCTION("GOOGLETRANSLATE(B756, ""tr"", ""en"" )"),"Mocking, having fun with the other person, making fun of")</f>
        <v>Mocking, having fun with the other person, making fun of</v>
      </c>
    </row>
    <row r="757" spans="1:3" ht="14.25" customHeight="1" x14ac:dyDescent="0.3">
      <c r="A757" s="3" t="s">
        <v>1507</v>
      </c>
      <c r="B757" s="6" t="s">
        <v>1508</v>
      </c>
      <c r="C757" s="5" t="str">
        <f ca="1">IFERROR(__xludf.DUMMYFUNCTION("GOOGLETRANSLATE(B757, ""tr"", ""en"" )"),"To say consistent, non -convincing, lying words")</f>
        <v>To say consistent, non -convincing, lying words</v>
      </c>
    </row>
    <row r="758" spans="1:3" ht="14.25" customHeight="1" x14ac:dyDescent="0.3">
      <c r="A758" s="3" t="s">
        <v>1509</v>
      </c>
      <c r="B758" s="6" t="s">
        <v>1510</v>
      </c>
      <c r="C758" s="5" t="str">
        <f ca="1">IFERROR(__xludf.DUMMYFUNCTION("GOOGLETRANSLATE(B758, ""tr"", ""en"" )"),"Characterless, bad creation, inferiority (person)")</f>
        <v>Characterless, bad creation, inferiority (person)</v>
      </c>
    </row>
    <row r="759" spans="1:3" ht="14.25" customHeight="1" x14ac:dyDescent="0.3">
      <c r="A759" s="3" t="s">
        <v>1511</v>
      </c>
      <c r="B759" s="6" t="s">
        <v>1512</v>
      </c>
      <c r="C759" s="5" t="str">
        <f ca="1">IFERROR(__xludf.DUMMYFUNCTION("GOOGLETRANSLATE(B759, ""tr"", ""en"" )"),"Unstable, passing enthusiasm quickly; Today is the one who likes the other tomorrow")</f>
        <v>Unstable, passing enthusiasm quickly; Today is the one who likes the other tomorrow</v>
      </c>
    </row>
    <row r="760" spans="1:3" ht="14.25" customHeight="1" x14ac:dyDescent="0.3">
      <c r="A760" s="3" t="s">
        <v>1513</v>
      </c>
      <c r="B760" s="6" t="s">
        <v>1514</v>
      </c>
      <c r="C760" s="5" t="str">
        <f ca="1">IFERROR(__xludf.DUMMYFUNCTION("GOOGLETRANSLATE(B760, ""tr"", ""en"" )"),"Between the two places")</f>
        <v>Between the two places</v>
      </c>
    </row>
    <row r="761" spans="1:3" ht="14.25" customHeight="1" x14ac:dyDescent="0.3">
      <c r="A761" s="3" t="s">
        <v>1515</v>
      </c>
      <c r="B761" s="6" t="s">
        <v>611</v>
      </c>
      <c r="C761" s="5" t="str">
        <f ca="1">IFERROR(__xludf.DUMMYFUNCTION("GOOGLETRANSLATE(B761, ""tr"", ""en"" )"),"Begged")</f>
        <v>Begged</v>
      </c>
    </row>
    <row r="762" spans="1:3" ht="14.25" customHeight="1" x14ac:dyDescent="0.3">
      <c r="A762" s="3" t="s">
        <v>1516</v>
      </c>
      <c r="B762" s="6" t="s">
        <v>1517</v>
      </c>
      <c r="C762" s="5" t="str">
        <f ca="1">IFERROR(__xludf.DUMMYFUNCTION("GOOGLETRANSLATE(B762, ""tr"", ""en"" )"),"To meet someone to greet someone")</f>
        <v>To meet someone to greet someone</v>
      </c>
    </row>
    <row r="763" spans="1:3" ht="14.25" customHeight="1" x14ac:dyDescent="0.3">
      <c r="A763" s="3" t="s">
        <v>1518</v>
      </c>
      <c r="B763" s="6" t="s">
        <v>1519</v>
      </c>
      <c r="C763" s="5" t="str">
        <f ca="1">IFERROR(__xludf.DUMMYFUNCTION("GOOGLETRANSLATE(B763, ""tr"", ""en"" )"),"Cutting attention with someone, putting an end to friendship")</f>
        <v>Cutting attention with someone, putting an end to friendship</v>
      </c>
    </row>
    <row r="764" spans="1:3" ht="14.25" customHeight="1" x14ac:dyDescent="0.3">
      <c r="A764" s="3" t="s">
        <v>1520</v>
      </c>
      <c r="B764" s="6" t="s">
        <v>1521</v>
      </c>
      <c r="C764" s="5" t="str">
        <f ca="1">IFERROR(__xludf.DUMMYFUNCTION("GOOGLETRANSLATE(B764, ""tr"", ""en"" )"),"Settle down")</f>
        <v>Settle down</v>
      </c>
    </row>
    <row r="765" spans="1:3" ht="14.25" customHeight="1" x14ac:dyDescent="0.3">
      <c r="A765" s="3" t="s">
        <v>1522</v>
      </c>
      <c r="B765" s="6" t="s">
        <v>1523</v>
      </c>
      <c r="C765" s="5" t="str">
        <f ca="1">IFERROR(__xludf.DUMMYFUNCTION("GOOGLETRANSLATE(B765, ""tr"", ""en"" )"),"Staying free of money, having no money")</f>
        <v>Staying free of money, having no money</v>
      </c>
    </row>
    <row r="766" spans="1:3" ht="14.25" customHeight="1" x14ac:dyDescent="0.3">
      <c r="A766" s="3" t="s">
        <v>1524</v>
      </c>
      <c r="B766" s="6" t="s">
        <v>1525</v>
      </c>
      <c r="C766" s="5" t="str">
        <f ca="1">IFERROR(__xludf.DUMMYFUNCTION("GOOGLETRANSLATE(B766, ""tr"", ""en"" )"),"Not to value, not care, not to mind")</f>
        <v>Not to value, not care, not to mind</v>
      </c>
    </row>
    <row r="767" spans="1:3" ht="14.25" customHeight="1" x14ac:dyDescent="0.3">
      <c r="A767" s="3" t="s">
        <v>1526</v>
      </c>
      <c r="B767" s="6" t="s">
        <v>1527</v>
      </c>
      <c r="C767" s="5" t="str">
        <f ca="1">IFERROR(__xludf.DUMMYFUNCTION("GOOGLETRANSLATE(B767, ""tr"", ""en"" )"),"To be overhearted because there is no one to prevent him, not to hesitate to do anything")</f>
        <v>To be overhearted because there is no one to prevent him, not to hesitate to do anything</v>
      </c>
    </row>
    <row r="768" spans="1:3" ht="14.25" customHeight="1" x14ac:dyDescent="0.3">
      <c r="A768" s="3" t="s">
        <v>1528</v>
      </c>
      <c r="B768" s="6" t="s">
        <v>1529</v>
      </c>
      <c r="C768" s="5" t="str">
        <f ca="1">IFERROR(__xludf.DUMMYFUNCTION("GOOGLETRANSLATE(B768, ""tr"", ""en"" )"),"Calling to a fight or competition, clearly reporting that he is not afraid and not hesitant")</f>
        <v>Calling to a fight or competition, clearly reporting that he is not afraid and not hesitant</v>
      </c>
    </row>
    <row r="769" spans="1:3" ht="14.25" customHeight="1" x14ac:dyDescent="0.3">
      <c r="A769" s="3" t="s">
        <v>1530</v>
      </c>
      <c r="B769" s="6" t="s">
        <v>1531</v>
      </c>
      <c r="C769" s="5" t="str">
        <f ca="1">IFERROR(__xludf.DUMMYFUNCTION("GOOGLETRANSLATE(B769, ""tr"", ""en"" )"),"Who do not show the necessary meticulousness about honor, who do not care about religious rules in men-men's relations, and behaves widely")</f>
        <v>Who do not show the necessary meticulousness about honor, who do not care about religious rules in men-men's relations, and behaves widely</v>
      </c>
    </row>
    <row r="770" spans="1:3" ht="14.25" customHeight="1" x14ac:dyDescent="0.3">
      <c r="A770" s="3" t="s">
        <v>1532</v>
      </c>
      <c r="B770" s="6" t="s">
        <v>1533</v>
      </c>
      <c r="C770" s="5" t="str">
        <f ca="1">IFERROR(__xludf.DUMMYFUNCTION("GOOGLETRANSLATE(B770, ""tr"", ""en"" )"),"Very weak, exhausted, weak person")</f>
        <v>Very weak, exhausted, weak person</v>
      </c>
    </row>
    <row r="771" spans="1:3" ht="14.25" customHeight="1" x14ac:dyDescent="0.3">
      <c r="A771" s="3" t="s">
        <v>1534</v>
      </c>
      <c r="B771" s="6" t="s">
        <v>1535</v>
      </c>
      <c r="C771" s="5" t="str">
        <f ca="1">IFERROR(__xludf.DUMMYFUNCTION("GOOGLETRANSLATE(B771, ""tr"", ""en"" )"),"To make various excuses to avoid fulfilling a request")</f>
        <v>To make various excuses to avoid fulfilling a request</v>
      </c>
    </row>
    <row r="772" spans="1:3" ht="14.25" customHeight="1" x14ac:dyDescent="0.3">
      <c r="A772" s="3" t="s">
        <v>1536</v>
      </c>
      <c r="B772" s="6" t="s">
        <v>1537</v>
      </c>
      <c r="C772" s="5" t="str">
        <f ca="1">IFERROR(__xludf.DUMMYFUNCTION("GOOGLETRANSLATE(B772, ""tr"", ""en"" )"),"Trying to break a game or a job done by making various excuses, not to consent")</f>
        <v>Trying to break a game or a job done by making various excuses, not to consent</v>
      </c>
    </row>
    <row r="773" spans="1:3" ht="14.25" customHeight="1" x14ac:dyDescent="0.3">
      <c r="A773" s="3" t="s">
        <v>1538</v>
      </c>
      <c r="B773" s="6" t="s">
        <v>1539</v>
      </c>
      <c r="C773" s="5" t="str">
        <f ca="1">IFERROR(__xludf.DUMMYFUNCTION("GOOGLETRANSLATE(B773, ""tr"", ""en"" )"),"NAZLI, HAND BABY ROSE BABY GREAT, NON -WARGNOR")</f>
        <v>NAZLI, HAND BABY ROSE BABY GREAT, NON -WARGNOR</v>
      </c>
    </row>
    <row r="774" spans="1:3" ht="14.25" customHeight="1" x14ac:dyDescent="0.3">
      <c r="A774" s="3" t="s">
        <v>1540</v>
      </c>
      <c r="B774" s="6" t="s">
        <v>1541</v>
      </c>
      <c r="C774" s="5" t="str">
        <f ca="1">IFERROR(__xludf.DUMMYFUNCTION("GOOGLETRANSLATE(B774, ""tr"", ""en"" )"),"Call for a lot of desire and longing")</f>
        <v>Call for a lot of desire and longing</v>
      </c>
    </row>
    <row r="775" spans="1:3" ht="14.25" customHeight="1" x14ac:dyDescent="0.3">
      <c r="A775" s="3" t="s">
        <v>1542</v>
      </c>
      <c r="B775" s="6" t="s">
        <v>1543</v>
      </c>
      <c r="C775" s="5" t="str">
        <f ca="1">IFERROR(__xludf.DUMMYFUNCTION("GOOGLETRANSLATE(B775, ""tr"", ""en"" )"),"To come true, to achieve what he wants")</f>
        <v>To come true, to achieve what he wants</v>
      </c>
    </row>
    <row r="776" spans="1:3" ht="14.25" customHeight="1" x14ac:dyDescent="0.3">
      <c r="A776" s="3" t="s">
        <v>1544</v>
      </c>
      <c r="B776" s="6" t="s">
        <v>1545</v>
      </c>
      <c r="C776" s="5" t="str">
        <f ca="1">IFERROR(__xludf.DUMMYFUNCTION("GOOGLETRANSLATE(B776, ""tr"", ""en"" )"),"A decision, the contract, the agreement is written shortly after the writing")</f>
        <v>A decision, the contract, the agreement is written shortly after the writing</v>
      </c>
    </row>
    <row r="777" spans="1:3" ht="14.25" customHeight="1" x14ac:dyDescent="0.3">
      <c r="A777" s="3" t="s">
        <v>1546</v>
      </c>
      <c r="B777" s="6" t="s">
        <v>1547</v>
      </c>
      <c r="C777" s="5" t="str">
        <f ca="1">IFERROR(__xludf.DUMMYFUNCTION("GOOGLETRANSLATE(B777, ""tr"", ""en"" )"),"Anyone who has studied, read and wrote, had a certain culture")</f>
        <v>Anyone who has studied, read and wrote, had a certain culture</v>
      </c>
    </row>
    <row r="778" spans="1:3" ht="14.25" customHeight="1" x14ac:dyDescent="0.3">
      <c r="A778" s="3" t="s">
        <v>1548</v>
      </c>
      <c r="B778" s="6" t="s">
        <v>1549</v>
      </c>
      <c r="C778" s="5" t="str">
        <f ca="1">IFERROR(__xludf.DUMMYFUNCTION("GOOGLETRANSLATE(B778, ""tr"", ""en"" )"),"Acting someone will like, responding to your tendencies")</f>
        <v>Acting someone will like, responding to your tendencies</v>
      </c>
    </row>
    <row r="779" spans="1:3" ht="14.25" customHeight="1" x14ac:dyDescent="0.3">
      <c r="A779" s="3" t="s">
        <v>1550</v>
      </c>
      <c r="B779" s="6" t="s">
        <v>1551</v>
      </c>
      <c r="C779" s="5" t="str">
        <f ca="1">IFERROR(__xludf.DUMMYFUNCTION("GOOGLETRANSLATE(B779, ""tr"", ""en"" )"),"Acting with your own interest in almost every job")</f>
        <v>Acting with your own interest in almost every job</v>
      </c>
    </row>
    <row r="780" spans="1:3" ht="14.25" customHeight="1" x14ac:dyDescent="0.3">
      <c r="A780" s="3" t="s">
        <v>1552</v>
      </c>
      <c r="B780" s="6" t="s">
        <v>1553</v>
      </c>
      <c r="C780" s="5" t="str">
        <f ca="1">IFERROR(__xludf.DUMMYFUNCTION("GOOGLETRANSLATE(B780, ""tr"", ""en"" )"),"Non -resistor, weak")</f>
        <v>Non -resistor, weak</v>
      </c>
    </row>
    <row r="781" spans="1:3" ht="14.25" customHeight="1" x14ac:dyDescent="0.3">
      <c r="A781" s="3" t="s">
        <v>1554</v>
      </c>
      <c r="B781" s="6" t="s">
        <v>1555</v>
      </c>
      <c r="C781" s="5" t="str">
        <f ca="1">IFERROR(__xludf.DUMMYFUNCTION("GOOGLETRANSLATE(B781, ""tr"", ""en"" )"),"Selling yourself heavy, acting as reluctant to fulfill a request")</f>
        <v>Selling yourself heavy, acting as reluctant to fulfill a request</v>
      </c>
    </row>
    <row r="782" spans="1:3" ht="14.25" customHeight="1" x14ac:dyDescent="0.3">
      <c r="A782" s="3" t="s">
        <v>1556</v>
      </c>
      <c r="B782" s="6" t="s">
        <v>1557</v>
      </c>
      <c r="C782" s="5" t="str">
        <f ca="1">IFERROR(__xludf.DUMMYFUNCTION("GOOGLETRANSLATE(B782, ""tr"", ""en"" )"),"To be considerable enough to do what you want")</f>
        <v>To be considerable enough to do what you want</v>
      </c>
    </row>
    <row r="783" spans="1:3" ht="14.25" customHeight="1" x14ac:dyDescent="0.3">
      <c r="A783" s="3" t="s">
        <v>1558</v>
      </c>
      <c r="B783" s="6" t="s">
        <v>1559</v>
      </c>
      <c r="C783" s="5" t="str">
        <f ca="1">IFERROR(__xludf.DUMMYFUNCTION("GOOGLETRANSLATE(B783, ""tr"", ""en"" )"),"Not to give the opportunity to rest, to compress, not to leave comfortable")</f>
        <v>Not to give the opportunity to rest, to compress, not to leave comfortable</v>
      </c>
    </row>
    <row r="784" spans="1:3" ht="14.25" customHeight="1" x14ac:dyDescent="0.3">
      <c r="A784" s="3" t="s">
        <v>1560</v>
      </c>
      <c r="B784" s="6" t="s">
        <v>1561</v>
      </c>
      <c r="C784" s="5" t="str">
        <f ca="1">IFERROR(__xludf.DUMMYFUNCTION("GOOGLETRANSLATE(B784, ""tr"", ""en"" )"),"Get tired of telling something")</f>
        <v>Get tired of telling something</v>
      </c>
    </row>
    <row r="785" spans="1:3" ht="14.25" customHeight="1" x14ac:dyDescent="0.3">
      <c r="A785" s="3" t="s">
        <v>1562</v>
      </c>
      <c r="B785" s="6" t="s">
        <v>1563</v>
      </c>
      <c r="C785" s="5" t="str">
        <f ca="1">IFERROR(__xludf.DUMMYFUNCTION("GOOGLETRANSLATE(B785, ""tr"", ""en"" )"),"Not being able to fit yourself, finding that thing is degrading, heavy for himself")</f>
        <v>Not being able to fit yourself, finding that thing is degrading, heavy for himself</v>
      </c>
    </row>
    <row r="786" spans="1:3" ht="14.25" customHeight="1" x14ac:dyDescent="0.3">
      <c r="A786" s="3" t="s">
        <v>1564</v>
      </c>
      <c r="B786" s="6" t="s">
        <v>1565</v>
      </c>
      <c r="C786" s="5" t="str">
        <f ca="1">IFERROR(__xludf.DUMMYFUNCTION("GOOGLETRANSLATE(B786, ""tr"", ""en"" )"),"Both sides should be protected, not offended, and there will be a way that they will not be damaged.")</f>
        <v>Both sides should be protected, not offended, and there will be a way that they will not be damaged.</v>
      </c>
    </row>
    <row r="787" spans="1:3" ht="14.25" customHeight="1" x14ac:dyDescent="0.3">
      <c r="A787" s="3" t="s">
        <v>1566</v>
      </c>
      <c r="B787" s="6" t="s">
        <v>1567</v>
      </c>
      <c r="C787" s="5" t="str">
        <f ca="1">IFERROR(__xludf.DUMMYFUNCTION("GOOGLETRANSLATE(B787, ""tr"", ""en"" )"),"It will be pleasant, it is not something to enjoy, to be liked")</f>
        <v>It will be pleasant, it is not something to enjoy, to be liked</v>
      </c>
    </row>
    <row r="788" spans="1:3" ht="14.25" customHeight="1" x14ac:dyDescent="0.3">
      <c r="A788" s="3" t="s">
        <v>1568</v>
      </c>
      <c r="B788" s="6" t="s">
        <v>1569</v>
      </c>
      <c r="C788" s="5" t="str">
        <f ca="1">IFERROR(__xludf.DUMMYFUNCTION("GOOGLETRANSLATE(B788, ""tr"", ""en"" )"),"Getting very angry, getting angry and angry and therefore changing color")</f>
        <v>Getting very angry, getting angry and angry and therefore changing color</v>
      </c>
    </row>
    <row r="789" spans="1:3" ht="14.25" customHeight="1" x14ac:dyDescent="0.3">
      <c r="A789" s="3" t="s">
        <v>1570</v>
      </c>
      <c r="B789" s="6" t="s">
        <v>1571</v>
      </c>
      <c r="C789" s="5" t="str">
        <f ca="1">IFERROR(__xludf.DUMMYFUNCTION("GOOGLETRANSLATE(B789, ""tr"", ""en"" )"),"Even though it requires sacrifice, he does not approach sacrifice but does not give up what he wants")</f>
        <v>Even though it requires sacrifice, he does not approach sacrifice but does not give up what he wants</v>
      </c>
    </row>
    <row r="790" spans="1:3" ht="14.25" customHeight="1" x14ac:dyDescent="0.3">
      <c r="A790" s="3" t="s">
        <v>1572</v>
      </c>
      <c r="B790" s="6" t="s">
        <v>1573</v>
      </c>
      <c r="C790" s="5" t="str">
        <f ca="1">IFERROR(__xludf.DUMMYFUNCTION("GOOGLETRANSLATE(B790, ""tr"", ""en"" )"),"He does not want anyone to benefit, he does not benefit himself")</f>
        <v>He does not want anyone to benefit, he does not benefit himself</v>
      </c>
    </row>
    <row r="791" spans="1:3" ht="14.25" customHeight="1" x14ac:dyDescent="0.3">
      <c r="A791" s="3" t="s">
        <v>1574</v>
      </c>
      <c r="B791" s="6" t="s">
        <v>1575</v>
      </c>
      <c r="C791" s="5" t="str">
        <f ca="1">IFERROR(__xludf.DUMMYFUNCTION("GOOGLETRANSLATE(B791, ""tr"", ""en"" )"),"He is extremely stubborn, he does not change his thoughts, he resists in his beliefs and beliefs.")</f>
        <v>He is extremely stubborn, he does not change his thoughts, he resists in his beliefs and beliefs.</v>
      </c>
    </row>
    <row r="792" spans="1:3" ht="14.25" customHeight="1" x14ac:dyDescent="0.3">
      <c r="A792" s="3" t="s">
        <v>1576</v>
      </c>
      <c r="B792" s="6" t="s">
        <v>1577</v>
      </c>
      <c r="C792" s="5" t="str">
        <f ca="1">IFERROR(__xludf.DUMMYFUNCTION("GOOGLETRANSLATE(B792, ""tr"", ""en"" )"),"Very old fashion")</f>
        <v>Very old fashion</v>
      </c>
    </row>
    <row r="793" spans="1:3" ht="14.25" customHeight="1" x14ac:dyDescent="0.3">
      <c r="A793" s="3" t="s">
        <v>1578</v>
      </c>
      <c r="B793" s="6" t="s">
        <v>1579</v>
      </c>
      <c r="C793" s="5" t="str">
        <f ca="1">IFERROR(__xludf.DUMMYFUNCTION("GOOGLETRANSLATE(B793, ""tr"", ""en"" )"),"To lie, to deceive the other person by saying something as if it were real")</f>
        <v>To lie, to deceive the other person by saying something as if it were real</v>
      </c>
    </row>
    <row r="794" spans="1:3" ht="14.25" customHeight="1" x14ac:dyDescent="0.3">
      <c r="A794" s="3" t="s">
        <v>1580</v>
      </c>
      <c r="B794" s="6" t="s">
        <v>1581</v>
      </c>
      <c r="C794" s="5" t="str">
        <f ca="1">IFERROR(__xludf.DUMMYFUNCTION("GOOGLETRANSLATE(B794, ""tr"", ""en"" )"),"Being unable to speak with fear, sadness, excitement")</f>
        <v>Being unable to speak with fear, sadness, excitement</v>
      </c>
    </row>
    <row r="795" spans="1:3" ht="14.25" customHeight="1" x14ac:dyDescent="0.3">
      <c r="A795" s="3" t="s">
        <v>1582</v>
      </c>
      <c r="B795" s="6" t="s">
        <v>1583</v>
      </c>
      <c r="C795" s="5" t="str">
        <f ca="1">IFERROR(__xludf.DUMMYFUNCTION("GOOGLETRANSLATE(B795, ""tr"", ""en"" )"),"Begging someone to help someone, taking refuge for protection")</f>
        <v>Begging someone to help someone, taking refuge for protection</v>
      </c>
    </row>
    <row r="796" spans="1:3" ht="14.25" customHeight="1" x14ac:dyDescent="0.3">
      <c r="A796" s="3" t="s">
        <v>1584</v>
      </c>
      <c r="B796" s="6" t="s">
        <v>1585</v>
      </c>
      <c r="C796" s="5" t="str">
        <f ca="1">IFERROR(__xludf.DUMMYFUNCTION("GOOGLETRANSLATE(B796, ""tr"", ""en"" )"),"To disperse someone's house, to upside down the order, to destroy the nest and become unable to recover")</f>
        <v>To disperse someone's house, to upside down the order, to destroy the nest and become unable to recover</v>
      </c>
    </row>
    <row r="797" spans="1:3" ht="14.25" customHeight="1" x14ac:dyDescent="0.3">
      <c r="A797" s="3" t="s">
        <v>1586</v>
      </c>
      <c r="B797" s="6" t="s">
        <v>1587</v>
      </c>
      <c r="C797" s="5" t="str">
        <f ca="1">IFERROR(__xludf.DUMMYFUNCTION("GOOGLETRANSLATE(B797, ""tr"", ""en"" )"),"To disintegrate the family, to destroy the offspring")</f>
        <v>To disintegrate the family, to destroy the offspring</v>
      </c>
    </row>
    <row r="798" spans="1:3" ht="14.25" customHeight="1" x14ac:dyDescent="0.3">
      <c r="A798" s="3" t="s">
        <v>1588</v>
      </c>
      <c r="B798" s="6" t="s">
        <v>1589</v>
      </c>
      <c r="C798" s="5" t="str">
        <f ca="1">IFERROR(__xludf.DUMMYFUNCTION("GOOGLETRANSLATE(B798, ""tr"", ""en"" )"),"Doing an irreversible job, saying a word or making a move")</f>
        <v>Doing an irreversible job, saying a word or making a move</v>
      </c>
    </row>
    <row r="799" spans="1:3" ht="14.25" customHeight="1" x14ac:dyDescent="0.3">
      <c r="A799" s="3" t="s">
        <v>1590</v>
      </c>
      <c r="B799" s="6" t="s">
        <v>1591</v>
      </c>
      <c r="C799" s="5" t="str">
        <f ca="1">IFERROR(__xludf.DUMMYFUNCTION("GOOGLETRANSLATE(B799, ""tr"", ""en"" )"),"To have a hurry, to create a difficult and impossible situation")</f>
        <v>To have a hurry, to create a difficult and impossible situation</v>
      </c>
    </row>
    <row r="800" spans="1:3" ht="14.25" customHeight="1" x14ac:dyDescent="0.3">
      <c r="A800" s="3" t="s">
        <v>1592</v>
      </c>
      <c r="B800" s="6" t="s">
        <v>1593</v>
      </c>
      <c r="C800" s="5" t="str">
        <f ca="1">IFERROR(__xludf.DUMMYFUNCTION("GOOGLETRANSLATE(B800, ""tr"", ""en"" )"),"What happened, the work passed, the ones took an irreversible situation, you need to accept it")</f>
        <v>What happened, the work passed, the ones took an irreversible situation, you need to accept it</v>
      </c>
    </row>
    <row r="801" spans="1:3" ht="14.25" customHeight="1" x14ac:dyDescent="0.3">
      <c r="A801" s="3" t="s">
        <v>1594</v>
      </c>
      <c r="B801" s="6" t="s">
        <v>1595</v>
      </c>
      <c r="C801" s="5" t="str">
        <f ca="1">IFERROR(__xludf.DUMMYFUNCTION("GOOGLETRANSLATE(B801, ""tr"", ""en"" )"),"To deal with a job that does not give results or to support it")</f>
        <v>To deal with a job that does not give results or to support it</v>
      </c>
    </row>
    <row r="802" spans="1:3" ht="14.25" customHeight="1" x14ac:dyDescent="0.3">
      <c r="A802" s="3" t="s">
        <v>1596</v>
      </c>
      <c r="B802" s="6" t="s">
        <v>1597</v>
      </c>
      <c r="C802" s="5" t="str">
        <f ca="1">IFERROR(__xludf.DUMMYFUNCTION("GOOGLETRANSLATE(B802, ""tr"", ""en"" )"),"To be satisfied with as far as a job can be done, to wait without intervening and to consent to the outcome")</f>
        <v>To be satisfied with as far as a job can be done, to wait without intervening and to consent to the outcome</v>
      </c>
    </row>
    <row r="803" spans="1:3" ht="14.25" customHeight="1" x14ac:dyDescent="0.3">
      <c r="A803" s="3" t="s">
        <v>1598</v>
      </c>
      <c r="B803" s="6" t="s">
        <v>1599</v>
      </c>
      <c r="C803" s="5" t="str">
        <f ca="1">IFERROR(__xludf.DUMMYFUNCTION("GOOGLETRANSLATE(B803, ""tr"", ""en"" )"),"Not to mind, not to care, not to adopt")</f>
        <v>Not to mind, not to care, not to adopt</v>
      </c>
    </row>
    <row r="804" spans="1:3" ht="14.25" customHeight="1" x14ac:dyDescent="0.3">
      <c r="A804" s="3" t="s">
        <v>1600</v>
      </c>
      <c r="B804" s="6" t="s">
        <v>1601</v>
      </c>
      <c r="C804" s="5" t="str">
        <f ca="1">IFERROR(__xludf.DUMMYFUNCTION("GOOGLETRANSLATE(B804, ""tr"", ""en"" )"),"Very skilled, resourceful, mastery, very, every job comes from his hand")</f>
        <v>Very skilled, resourceful, mastery, very, every job comes from his hand</v>
      </c>
    </row>
    <row r="805" spans="1:3" ht="14.25" customHeight="1" x14ac:dyDescent="0.3">
      <c r="A805" s="3" t="s">
        <v>1602</v>
      </c>
      <c r="B805" s="6" t="s">
        <v>1603</v>
      </c>
      <c r="C805" s="5" t="str">
        <f ca="1">IFERROR(__xludf.DUMMYFUNCTION("GOOGLETRANSLATE(B805, ""tr"", ""en"" )"),"Hurt your dignity, dignity")</f>
        <v>Hurt your dignity, dignity</v>
      </c>
    </row>
    <row r="806" spans="1:3" ht="14.25" customHeight="1" x14ac:dyDescent="0.3">
      <c r="A806" s="3" t="s">
        <v>1604</v>
      </c>
      <c r="B806" s="6" t="s">
        <v>1605</v>
      </c>
      <c r="C806" s="5" t="str">
        <f ca="1">IFERROR(__xludf.DUMMYFUNCTION("GOOGLETRANSLATE(B806, ""tr"", ""en"" )"),"To act as if he did not understand, perceive")</f>
        <v>To act as if he did not understand, perceive</v>
      </c>
    </row>
    <row r="807" spans="1:3" ht="14.25" customHeight="1" x14ac:dyDescent="0.3">
      <c r="A807" s="3" t="s">
        <v>1606</v>
      </c>
      <c r="B807" s="6" t="s">
        <v>1607</v>
      </c>
      <c r="C807" s="5" t="str">
        <f ca="1">IFERROR(__xludf.DUMMYFUNCTION("GOOGLETRANSLATE(B807, ""tr"", ""en"" )"),"Staying out of place, not finding a place to shelter")</f>
        <v>Staying out of place, not finding a place to shelter</v>
      </c>
    </row>
    <row r="808" spans="1:3" ht="14.25" customHeight="1" x14ac:dyDescent="0.3">
      <c r="A808" s="3" t="s">
        <v>1608</v>
      </c>
      <c r="B808" s="6" t="s">
        <v>1609</v>
      </c>
      <c r="C808" s="5" t="str">
        <f ca="1">IFERROR(__xludf.DUMMYFUNCTION("GOOGLETRANSLATE(B808, ""tr"", ""en"" )"),"Making turmoil, bringing everyone to each other")</f>
        <v>Making turmoil, bringing everyone to each other</v>
      </c>
    </row>
    <row r="809" spans="1:3" ht="14.25" customHeight="1" x14ac:dyDescent="0.3">
      <c r="A809" s="3" t="s">
        <v>1610</v>
      </c>
      <c r="B809" s="6" t="s">
        <v>1611</v>
      </c>
      <c r="C809" s="5" t="str">
        <f ca="1">IFERROR(__xludf.DUMMYFUNCTION("GOOGLETRANSLATE(B809, ""tr"", ""en"" )"),"That everyone benefits")</f>
        <v>That everyone benefits</v>
      </c>
    </row>
    <row r="810" spans="1:3" ht="14.25" customHeight="1" x14ac:dyDescent="0.3">
      <c r="A810" s="3" t="s">
        <v>1612</v>
      </c>
      <c r="B810" s="6" t="s">
        <v>1613</v>
      </c>
      <c r="C810" s="5" t="str">
        <f ca="1">IFERROR(__xludf.DUMMYFUNCTION("GOOGLETRANSLATE(B810, ""tr"", ""en"" )"),"Explain whatever is hidden")</f>
        <v>Explain whatever is hidden</v>
      </c>
    </row>
    <row r="811" spans="1:3" ht="14.25" customHeight="1" x14ac:dyDescent="0.3">
      <c r="A811" s="3" t="s">
        <v>1614</v>
      </c>
      <c r="B811" s="6" t="s">
        <v>1615</v>
      </c>
      <c r="C811" s="5" t="str">
        <f ca="1">IFERROR(__xludf.DUMMYFUNCTION("GOOGLETRANSLATE(B811, ""tr"", ""en"" )"),"Not being interested in something, a job, not to be interested in that thing")</f>
        <v>Not being interested in something, a job, not to be interested in that thing</v>
      </c>
    </row>
    <row r="812" spans="1:3" ht="14.25" customHeight="1" x14ac:dyDescent="0.3">
      <c r="A812" s="3" t="s">
        <v>1616</v>
      </c>
      <c r="B812" s="6" t="s">
        <v>1617</v>
      </c>
      <c r="C812" s="5" t="str">
        <f ca="1">IFERROR(__xludf.DUMMYFUNCTION("GOOGLETRANSLATE(B812, ""tr"", ""en"" )"),"To be deceived, to trap")</f>
        <v>To be deceived, to trap</v>
      </c>
    </row>
    <row r="813" spans="1:3" ht="14.25" customHeight="1" x14ac:dyDescent="0.3">
      <c r="A813" s="3" t="s">
        <v>1618</v>
      </c>
      <c r="B813" s="6" t="s">
        <v>1619</v>
      </c>
      <c r="C813" s="5" t="str">
        <f ca="1">IFERROR(__xludf.DUMMYFUNCTION("GOOGLETRANSLATE(B813, ""tr"", ""en"" )"),"To be spent, to give up unilaterally from the work that needs to be done together")</f>
        <v>To be spent, to give up unilaterally from the work that needs to be done together</v>
      </c>
    </row>
    <row r="814" spans="1:3" ht="14.25" customHeight="1" x14ac:dyDescent="0.3">
      <c r="A814" s="3" t="s">
        <v>1620</v>
      </c>
      <c r="B814" s="6" t="s">
        <v>1621</v>
      </c>
      <c r="C814" s="5" t="str">
        <f ca="1">IFERROR(__xludf.DUMMYFUNCTION("GOOGLETRANSLATE(B814, ""tr"", ""en"" )"),"Deceiving, cunning someone into trap")</f>
        <v>Deceiving, cunning someone into trap</v>
      </c>
    </row>
    <row r="815" spans="1:3" ht="14.25" customHeight="1" x14ac:dyDescent="0.3">
      <c r="A815" s="3" t="s">
        <v>1622</v>
      </c>
      <c r="B815" s="6" t="s">
        <v>1623</v>
      </c>
      <c r="C815" s="5" t="str">
        <f ca="1">IFERROR(__xludf.DUMMYFUNCTION("GOOGLETRANSLATE(B815, ""tr"", ""en"" )"),"To remove the pain of an evil done by doing the same equally evil")</f>
        <v>To remove the pain of an evil done by doing the same equally evil</v>
      </c>
    </row>
    <row r="816" spans="1:3" ht="14.25" customHeight="1" x14ac:dyDescent="0.3">
      <c r="A816" s="3" t="s">
        <v>1624</v>
      </c>
      <c r="B816" s="6" t="s">
        <v>1625</v>
      </c>
      <c r="C816" s="5" t="str">
        <f ca="1">IFERROR(__xludf.DUMMYFUNCTION("GOOGLETRANSLATE(B816, ""tr"", ""en"" )"),"Be afraid of a sudden event")</f>
        <v>Be afraid of a sudden event</v>
      </c>
    </row>
    <row r="817" spans="1:3" ht="14.25" customHeight="1" x14ac:dyDescent="0.3">
      <c r="A817" s="3" t="s">
        <v>1626</v>
      </c>
      <c r="B817" s="6" t="s">
        <v>1627</v>
      </c>
      <c r="C817" s="5" t="str">
        <f ca="1">IFERROR(__xludf.DUMMYFUNCTION("GOOGLETRANSLATE(B817, ""tr"", ""en"" )"),"Some reasons, excuses to find criminal and guilty by making up excuses")</f>
        <v>Some reasons, excuses to find criminal and guilty by making up excuses</v>
      </c>
    </row>
    <row r="818" spans="1:3" ht="14.25" customHeight="1" x14ac:dyDescent="0.3">
      <c r="A818" s="3" t="s">
        <v>1628</v>
      </c>
      <c r="B818" s="6" t="s">
        <v>1629</v>
      </c>
      <c r="C818" s="5" t="str">
        <f ca="1">IFERROR(__xludf.DUMMYFUNCTION("GOOGLETRANSLATE(B818, ""tr"", ""en"" )"),"The proximity was abolished and there is no proximity.")</f>
        <v>The proximity was abolished and there is no proximity.</v>
      </c>
    </row>
    <row r="819" spans="1:3" ht="14.25" customHeight="1" x14ac:dyDescent="0.3">
      <c r="A819" s="3" t="s">
        <v>1630</v>
      </c>
      <c r="B819" s="6" t="s">
        <v>1631</v>
      </c>
      <c r="C819" s="5" t="str">
        <f ca="1">IFERROR(__xludf.DUMMYFUNCTION("GOOGLETRANSLATE(B819, ""tr"", ""en"" )"),"To go above the appropriate degree, go over")</f>
        <v>To go above the appropriate degree, go over</v>
      </c>
    </row>
    <row r="820" spans="1:3" ht="14.25" customHeight="1" x14ac:dyDescent="0.3">
      <c r="A820" s="3" t="s">
        <v>1632</v>
      </c>
      <c r="B820" s="6" t="s">
        <v>1633</v>
      </c>
      <c r="C820" s="5" t="str">
        <f ca="1">IFERROR(__xludf.DUMMYFUNCTION("GOOGLETRANSLATE(B820, ""tr"", ""en"" )"),"A desperate waiting")</f>
        <v>A desperate waiting</v>
      </c>
    </row>
    <row r="821" spans="1:3" ht="14.25" customHeight="1" x14ac:dyDescent="0.3">
      <c r="A821" s="3" t="s">
        <v>1634</v>
      </c>
      <c r="B821" s="6" t="s">
        <v>1635</v>
      </c>
      <c r="C821" s="5" t="str">
        <f ca="1">IFERROR(__xludf.DUMMYFUNCTION("GOOGLETRANSLATE(B821, ""tr"", ""en"" )"),"At the expense of none, with a little money very cheap than its value")</f>
        <v>At the expense of none, with a little money very cheap than its value</v>
      </c>
    </row>
    <row r="822" spans="1:3" ht="14.25" customHeight="1" x14ac:dyDescent="0.3">
      <c r="A822" s="3" t="s">
        <v>1636</v>
      </c>
      <c r="B822" s="6" t="s">
        <v>1637</v>
      </c>
      <c r="C822" s="5" t="str">
        <f ca="1">IFERROR(__xludf.DUMMYFUNCTION("GOOGLETRANSLATE(B822, ""tr"", ""en"" )"),"To be in a dangerous job in the work that will attract death on yourself")</f>
        <v>To be in a dangerous job in the work that will attract death on yourself</v>
      </c>
    </row>
    <row r="823" spans="1:3" ht="14.25" customHeight="1" x14ac:dyDescent="0.3">
      <c r="A823" s="3" t="s">
        <v>1638</v>
      </c>
      <c r="B823" s="6" t="s">
        <v>1639</v>
      </c>
      <c r="C823" s="5" t="str">
        <f ca="1">IFERROR(__xludf.DUMMYFUNCTION("GOOGLETRANSLATE(B823, ""tr"", ""en"" )"),"Falling into troubled, painful situations")</f>
        <v>Falling into troubled, painful situations</v>
      </c>
    </row>
    <row r="824" spans="1:3" ht="14.25" customHeight="1" x14ac:dyDescent="0.3">
      <c r="A824" s="3" t="s">
        <v>1640</v>
      </c>
      <c r="B824" s="6" t="s">
        <v>1641</v>
      </c>
      <c r="C824" s="5" t="str">
        <f ca="1">IFERROR(__xludf.DUMMYFUNCTION("GOOGLETRANSLATE(B824, ""tr"", ""en"" )"),"To have labor for something for a long time, or to have spent time in vain")</f>
        <v>To have labor for something for a long time, or to have spent time in vain</v>
      </c>
    </row>
    <row r="825" spans="1:3" ht="14.25" customHeight="1" x14ac:dyDescent="0.3">
      <c r="A825" s="3" t="s">
        <v>1642</v>
      </c>
      <c r="B825" s="6" t="s">
        <v>1643</v>
      </c>
      <c r="C825" s="5" t="str">
        <f ca="1">IFERROR(__xludf.DUMMYFUNCTION("GOOGLETRANSLATE(B825, ""tr"", ""en"" )"),"Long and tiring work")</f>
        <v>Long and tiring work</v>
      </c>
    </row>
    <row r="826" spans="1:3" ht="14.25" customHeight="1" x14ac:dyDescent="0.3">
      <c r="A826" s="3" t="s">
        <v>1644</v>
      </c>
      <c r="B826" s="6" t="s">
        <v>1645</v>
      </c>
      <c r="C826" s="5" t="str">
        <f ca="1">IFERROR(__xludf.DUMMYFUNCTION("GOOGLETRANSLATE(B826, ""tr"", ""en"" )"),"The first to do a job and dragging everyone behind")</f>
        <v>The first to do a job and dragging everyone behind</v>
      </c>
    </row>
    <row r="827" spans="1:3" ht="14.25" customHeight="1" x14ac:dyDescent="0.3">
      <c r="A827" s="3" t="s">
        <v>1646</v>
      </c>
      <c r="B827" s="6" t="s">
        <v>1647</v>
      </c>
      <c r="C827" s="5" t="str">
        <f ca="1">IFERROR(__xludf.DUMMYFUNCTION("GOOGLETRANSLATE(B827, ""tr"", ""en"" )"),"Welcome something with gratitude, gladly accepting")</f>
        <v>Welcome something with gratitude, gladly accepting</v>
      </c>
    </row>
    <row r="828" spans="1:3" ht="14.25" customHeight="1" x14ac:dyDescent="0.3">
      <c r="A828" s="3" t="s">
        <v>1648</v>
      </c>
      <c r="B828" s="6" t="s">
        <v>1649</v>
      </c>
      <c r="C828" s="5" t="str">
        <f ca="1">IFERROR(__xludf.DUMMYFUNCTION("GOOGLETRANSLATE(B828, ""tr"", ""en"" )"),"Hiding a bad situation, preventing it from spreading")</f>
        <v>Hiding a bad situation, preventing it from spreading</v>
      </c>
    </row>
    <row r="829" spans="1:3" ht="14.25" customHeight="1" x14ac:dyDescent="0.3">
      <c r="A829" s="3" t="s">
        <v>1650</v>
      </c>
      <c r="B829" s="6" t="s">
        <v>1651</v>
      </c>
      <c r="C829" s="5" t="str">
        <f ca="1">IFERROR(__xludf.DUMMYFUNCTION("GOOGLETRANSLATE(B829, ""tr"", ""en"" )"),"Refundable, does not accept innovations easily")</f>
        <v>Refundable, does not accept innovations easily</v>
      </c>
    </row>
    <row r="830" spans="1:3" ht="14.25" customHeight="1" x14ac:dyDescent="0.3">
      <c r="A830" s="3" t="s">
        <v>1652</v>
      </c>
      <c r="B830" s="6" t="s">
        <v>1653</v>
      </c>
      <c r="C830" s="5" t="str">
        <f ca="1">IFERROR(__xludf.DUMMYFUNCTION("GOOGLETRANSLATE(B830, ""tr"", ""en"" )"),"To take care of a lot of care and take care of it until it reaches its details")</f>
        <v>To take care of a lot of care and take care of it until it reaches its details</v>
      </c>
    </row>
    <row r="831" spans="1:3" ht="14.25" customHeight="1" x14ac:dyDescent="0.3">
      <c r="A831" s="3" t="s">
        <v>1654</v>
      </c>
      <c r="B831" s="6" t="s">
        <v>1655</v>
      </c>
      <c r="C831" s="5" t="str">
        <f ca="1">IFERROR(__xludf.DUMMYFUNCTION("GOOGLETRANSLATE(B831, ""tr"", ""en"" )"),"Anyone who is one of the things, what they say and what they do, who says what he thinks,")</f>
        <v>Anyone who is one of the things, what they say and what they do, who says what he thinks,</v>
      </c>
    </row>
    <row r="832" spans="1:3" ht="14.25" customHeight="1" x14ac:dyDescent="0.3">
      <c r="A832" s="3" t="s">
        <v>1656</v>
      </c>
      <c r="B832" s="6" t="s">
        <v>1657</v>
      </c>
      <c r="C832" s="5" t="str">
        <f ca="1">IFERROR(__xludf.DUMMYFUNCTION("GOOGLETRANSLATE(B832, ""tr"", ""en"" )"),"To fall into disregard with the emergence of a superior person, to lose value and reputation")</f>
        <v>To fall into disregard with the emergence of a superior person, to lose value and reputation</v>
      </c>
    </row>
    <row r="833" spans="1:3" ht="14.25" customHeight="1" x14ac:dyDescent="0.3">
      <c r="A833" s="3" t="s">
        <v>1658</v>
      </c>
      <c r="B833" s="6" t="s">
        <v>1659</v>
      </c>
      <c r="C833" s="5" t="str">
        <f ca="1">IFERROR(__xludf.DUMMYFUNCTION("GOOGLETRANSLATE(B833, ""tr"", ""en"" )"),"To make a rush by making a difficult situation, causing him to escape in a hurry")</f>
        <v>To make a rush by making a difficult situation, causing him to escape in a hurry</v>
      </c>
    </row>
    <row r="834" spans="1:3" ht="14.25" customHeight="1" x14ac:dyDescent="0.3">
      <c r="A834" s="3" t="s">
        <v>1660</v>
      </c>
      <c r="B834" s="6" t="s">
        <v>1661</v>
      </c>
      <c r="C834" s="5" t="str">
        <f ca="1">IFERROR(__xludf.DUMMYFUNCTION("GOOGLETRANSLATE(B834, ""tr"", ""en"" )"),"Not to give up, not to give up what you will do")</f>
        <v>Not to give up, not to give up what you will do</v>
      </c>
    </row>
    <row r="835" spans="1:3" ht="14.25" customHeight="1" x14ac:dyDescent="0.3">
      <c r="A835" s="3" t="s">
        <v>1662</v>
      </c>
      <c r="B835" s="6" t="s">
        <v>1663</v>
      </c>
      <c r="C835" s="5" t="str">
        <f ca="1">IFERROR(__xludf.DUMMYFUNCTION("GOOGLETRANSLATE(B835, ""tr"", ""en"" )"),"Prepare for doing a job")</f>
        <v>Prepare for doing a job</v>
      </c>
    </row>
    <row r="836" spans="1:3" ht="14.25" customHeight="1" x14ac:dyDescent="0.3">
      <c r="A836" s="3" t="s">
        <v>1664</v>
      </c>
      <c r="B836" s="6" t="s">
        <v>1665</v>
      </c>
      <c r="C836" s="5" t="str">
        <f ca="1">IFERROR(__xludf.DUMMYFUNCTION("GOOGLETRANSLATE(B836, ""tr"", ""en"" )"),"Catching, seizing")</f>
        <v>Catching, seizing</v>
      </c>
    </row>
    <row r="837" spans="1:3" ht="14.25" customHeight="1" x14ac:dyDescent="0.3">
      <c r="A837" s="3" t="s">
        <v>1666</v>
      </c>
      <c r="B837" s="6" t="s">
        <v>1667</v>
      </c>
      <c r="C837" s="5" t="str">
        <f ca="1">IFERROR(__xludf.DUMMYFUNCTION("GOOGLETRANSLATE(B837, ""tr"", ""en"" )"),"To batter a lot, not to put its firm place, to make it useless")</f>
        <v>To batter a lot, not to put its firm place, to make it useless</v>
      </c>
    </row>
    <row r="838" spans="1:3" ht="14.25" customHeight="1" x14ac:dyDescent="0.3">
      <c r="A838" s="3" t="s">
        <v>1668</v>
      </c>
      <c r="B838" s="6" t="s">
        <v>1669</v>
      </c>
      <c r="C838" s="5" t="str">
        <f ca="1">IFERROR(__xludf.DUMMYFUNCTION("GOOGLETRANSLATE(B838, ""tr"", ""en"" )"),"To enter a relationship or before a relationship and then stripping off a job that he regrets")</f>
        <v>To enter a relationship or before a relationship and then stripping off a job that he regrets</v>
      </c>
    </row>
    <row r="839" spans="1:3" ht="14.25" customHeight="1" x14ac:dyDescent="0.3">
      <c r="A839" s="3" t="s">
        <v>1670</v>
      </c>
      <c r="B839" s="6" t="s">
        <v>1671</v>
      </c>
      <c r="C839" s="5" t="str">
        <f ca="1">IFERROR(__xludf.DUMMYFUNCTION("GOOGLETRANSLATE(B839, ""tr"", ""en"" )"),"In a hurry, without finding time to prepare")</f>
        <v>In a hurry, without finding time to prepare</v>
      </c>
    </row>
    <row r="840" spans="1:3" ht="14.25" customHeight="1" x14ac:dyDescent="0.3">
      <c r="A840" s="3" t="s">
        <v>1672</v>
      </c>
      <c r="B840" s="6" t="s">
        <v>1673</v>
      </c>
      <c r="C840" s="5" t="str">
        <f ca="1">IFERROR(__xludf.DUMMYFUNCTION("GOOGLETRANSLATE(B840, ""tr"", ""en"" )"),"Exaggerating, lying, talking about things that will not happen")</f>
        <v>Exaggerating, lying, talking about things that will not happen</v>
      </c>
    </row>
    <row r="841" spans="1:3" ht="14.25" customHeight="1" x14ac:dyDescent="0.3">
      <c r="A841" s="3" t="s">
        <v>1674</v>
      </c>
      <c r="B841" s="6" t="s">
        <v>1675</v>
      </c>
      <c r="C841" s="5" t="str">
        <f ca="1">IFERROR(__xludf.DUMMYFUNCTION("GOOGLETRANSLATE(B841, ""tr"", ""en"" )"),"With a big noise")</f>
        <v>With a big noise</v>
      </c>
    </row>
    <row r="842" spans="1:3" ht="14.25" customHeight="1" x14ac:dyDescent="0.3">
      <c r="A842" s="6" t="s">
        <v>1676</v>
      </c>
      <c r="B842" s="6" t="s">
        <v>1677</v>
      </c>
      <c r="C842" s="5" t="str">
        <f ca="1">IFERROR(__xludf.DUMMYFUNCTION("GOOGLETRANSLATE(B842, ""tr"", ""en"" )"),"Finding a rootless, temporary solution that will last less impact")</f>
        <v>Finding a rootless, temporary solution that will last less impact</v>
      </c>
    </row>
    <row r="843" spans="1:3" ht="14.25" customHeight="1" x14ac:dyDescent="0.3">
      <c r="A843" s="3" t="s">
        <v>1678</v>
      </c>
      <c r="B843" s="6" t="s">
        <v>1679</v>
      </c>
      <c r="C843" s="5" t="str">
        <f ca="1">IFERROR(__xludf.DUMMYFUNCTION("GOOGLETRANSLATE(B843, ""tr"", ""en"" )"),"Be scolded")</f>
        <v>Be scolded</v>
      </c>
    </row>
    <row r="844" spans="1:3" ht="14.25" customHeight="1" x14ac:dyDescent="0.3">
      <c r="A844" s="3" t="s">
        <v>1680</v>
      </c>
      <c r="B844" s="6" t="s">
        <v>1681</v>
      </c>
      <c r="C844" s="5" t="str">
        <f ca="1">IFERROR(__xludf.DUMMYFUNCTION("GOOGLETRANSLATE(B844, ""tr"", ""en"" )"),"Very rich, with plenty of money")</f>
        <v>Very rich, with plenty of money</v>
      </c>
    </row>
    <row r="845" spans="1:3" ht="14.25" customHeight="1" x14ac:dyDescent="0.3">
      <c r="A845" s="3" t="s">
        <v>1682</v>
      </c>
      <c r="B845" s="6" t="s">
        <v>1683</v>
      </c>
      <c r="C845" s="5" t="str">
        <f ca="1">IFERROR(__xludf.DUMMYFUNCTION("GOOGLETRANSLATE(B845, ""tr"", ""en"" )"),"Who loves money very much, fond of money")</f>
        <v>Who loves money very much, fond of money</v>
      </c>
    </row>
    <row r="846" spans="1:3" ht="14.25" customHeight="1" x14ac:dyDescent="0.3">
      <c r="A846" s="3" t="s">
        <v>1684</v>
      </c>
      <c r="B846" s="6" t="s">
        <v>1685</v>
      </c>
      <c r="C846" s="5" t="str">
        <f ca="1">IFERROR(__xludf.DUMMYFUNCTION("GOOGLETRANSLATE(B846, ""tr"", ""en"" )"),"Giving money to a job without value or a trowel")</f>
        <v>Giving money to a job without value or a trowel</v>
      </c>
    </row>
    <row r="847" spans="1:3" ht="14.25" customHeight="1" x14ac:dyDescent="0.3">
      <c r="A847" s="3" t="s">
        <v>1686</v>
      </c>
      <c r="B847" s="6" t="s">
        <v>1687</v>
      </c>
      <c r="C847" s="5" t="str">
        <f ca="1">IFERROR(__xludf.DUMMYFUNCTION("GOOGLETRANSLATE(B847, ""tr"", ""en"" )"),"Not to avoid spending money where you need")</f>
        <v>Not to avoid spending money where you need</v>
      </c>
    </row>
    <row r="848" spans="1:3" ht="14.25" customHeight="1" x14ac:dyDescent="0.3">
      <c r="A848" s="3" t="s">
        <v>1688</v>
      </c>
      <c r="B848" s="6" t="s">
        <v>1689</v>
      </c>
      <c r="C848" s="5" t="str">
        <f ca="1">IFERROR(__xludf.DUMMYFUNCTION("GOOGLETRANSLATE(B848, ""tr"", ""en"" )"),"Making a lot of money, spending plenty of money")</f>
        <v>Making a lot of money, spending plenty of money</v>
      </c>
    </row>
    <row r="849" spans="1:3" ht="14.25" customHeight="1" x14ac:dyDescent="0.3">
      <c r="A849" s="3" t="s">
        <v>1690</v>
      </c>
      <c r="B849" s="6" t="s">
        <v>1691</v>
      </c>
      <c r="C849" s="5" t="str">
        <f ca="1">IFERROR(__xludf.DUMMYFUNCTION("GOOGLETRANSLATE(B849, ""tr"", ""en"" )"),"Be surprised, to be amazed")</f>
        <v>Be surprised, to be amazed</v>
      </c>
    </row>
    <row r="850" spans="1:3" ht="14.25" customHeight="1" x14ac:dyDescent="0.3">
      <c r="A850" s="3" t="s">
        <v>1692</v>
      </c>
      <c r="B850" s="6" t="s">
        <v>1693</v>
      </c>
      <c r="C850" s="5" t="str">
        <f ca="1">IFERROR(__xludf.DUMMYFUNCTION("GOOGLETRANSLATE(B850, ""tr"", ""en"" )"),"At every opportunity, everywhere, dealing with it, dealing with that subject")</f>
        <v>At every opportunity, everywhere, dealing with it, dealing with that subject</v>
      </c>
    </row>
    <row r="851" spans="1:3" ht="14.25" customHeight="1" x14ac:dyDescent="0.3">
      <c r="A851" s="3" t="s">
        <v>1694</v>
      </c>
      <c r="B851" s="6" t="s">
        <v>1695</v>
      </c>
      <c r="C851" s="5" t="str">
        <f ca="1">IFERROR(__xludf.DUMMYFUNCTION("GOOGLETRANSLATE(B851, ""tr"", ""en"" )"),"Anything you want to make someone want to use it like a puppet")</f>
        <v>Anything you want to make someone want to use it like a puppet</v>
      </c>
    </row>
    <row r="852" spans="1:3" ht="14.25" customHeight="1" x14ac:dyDescent="0.3">
      <c r="A852" s="3" t="s">
        <v>1696</v>
      </c>
      <c r="B852" s="6" t="s">
        <v>1697</v>
      </c>
      <c r="C852" s="5" t="str">
        <f ca="1">IFERROR(__xludf.DUMMYFUNCTION("GOOGLETRANSLATE(B852, ""tr"", ""en"" )"),"Not reacting at all, staying indifferent")</f>
        <v>Not reacting at all, staying indifferent</v>
      </c>
    </row>
    <row r="853" spans="1:3" ht="14.25" customHeight="1" x14ac:dyDescent="0.3">
      <c r="A853" s="3" t="s">
        <v>1698</v>
      </c>
      <c r="B853" s="6" t="s">
        <v>1699</v>
      </c>
      <c r="C853" s="5" t="str">
        <f ca="1">IFERROR(__xludf.DUMMYFUNCTION("GOOGLETRANSLATE(B853, ""tr"", ""en"" )"),"To attract attention or attention on a point")</f>
        <v>To attract attention or attention on a point</v>
      </c>
    </row>
    <row r="854" spans="1:3" ht="14.25" customHeight="1" x14ac:dyDescent="0.3">
      <c r="A854" s="3" t="s">
        <v>1700</v>
      </c>
      <c r="B854" s="6" t="s">
        <v>1701</v>
      </c>
      <c r="C854" s="5" t="str">
        <f ca="1">IFERROR(__xludf.DUMMYFUNCTION("GOOGLETRANSLATE(B854, ""tr"", ""en"" )"),"To be surprised, to be amazed")</f>
        <v>To be surprised, to be amazed</v>
      </c>
    </row>
    <row r="855" spans="1:3" ht="14.25" customHeight="1" x14ac:dyDescent="0.3">
      <c r="A855" s="3" t="s">
        <v>1702</v>
      </c>
      <c r="B855" s="6" t="s">
        <v>1703</v>
      </c>
      <c r="C855" s="5" t="str">
        <f ca="1">IFERROR(__xludf.DUMMYFUNCTION("GOOGLETRANSLATE(B855, ""tr"", ""en"" )"),"Being distinguished, famous")</f>
        <v>Being distinguished, famous</v>
      </c>
    </row>
    <row r="856" spans="1:3" ht="14.25" customHeight="1" x14ac:dyDescent="0.3">
      <c r="A856" s="3" t="s">
        <v>1704</v>
      </c>
      <c r="B856" s="6" t="s">
        <v>1705</v>
      </c>
      <c r="C856" s="5" t="str">
        <f ca="1">IFERROR(__xludf.DUMMYFUNCTION("GOOGLETRANSLATE(B856, ""tr"", ""en"" )"),"A meal is very delicious")</f>
        <v>A meal is very delicious</v>
      </c>
    </row>
    <row r="857" spans="1:3" ht="14.25" customHeight="1" x14ac:dyDescent="0.3">
      <c r="A857" s="3" t="s">
        <v>1706</v>
      </c>
      <c r="B857" s="6" t="s">
        <v>1707</v>
      </c>
      <c r="C857" s="5" t="str">
        <f ca="1">IFERROR(__xludf.DUMMYFUNCTION("GOOGLETRANSLATE(B857, ""tr"", ""en"" )"),"Fighting, turmoil, making noise")</f>
        <v>Fighting, turmoil, making noise</v>
      </c>
    </row>
    <row r="858" spans="1:3" ht="14.25" customHeight="1" x14ac:dyDescent="0.3">
      <c r="A858" s="3" t="s">
        <v>1708</v>
      </c>
      <c r="B858" s="6" t="s">
        <v>1709</v>
      </c>
      <c r="C858" s="5" t="str">
        <f ca="1">IFERROR(__xludf.DUMMYFUNCTION("GOOGLETRANSLATE(B858, ""tr"", ""en"" )"),"A situation that is hidden or not welcome suddenly emerges")</f>
        <v>A situation that is hidden or not welcome suddenly emerges</v>
      </c>
    </row>
    <row r="859" spans="1:3" ht="14.25" customHeight="1" x14ac:dyDescent="0.3">
      <c r="A859" s="3" t="s">
        <v>1710</v>
      </c>
      <c r="B859" s="6" t="s">
        <v>1711</v>
      </c>
      <c r="C859" s="5" t="str">
        <f ca="1">IFERROR(__xludf.DUMMYFUNCTION("GOOGLETRANSLATE(B859, ""tr"", ""en"" )"),"To compare the situation with something to get an idea")</f>
        <v>To compare the situation with something to get an idea</v>
      </c>
    </row>
    <row r="860" spans="1:3" ht="14.25" customHeight="1" x14ac:dyDescent="0.3">
      <c r="A860" s="3" t="s">
        <v>1712</v>
      </c>
      <c r="B860" s="6" t="s">
        <v>1713</v>
      </c>
      <c r="C860" s="5" t="str">
        <f ca="1">IFERROR(__xludf.DUMMYFUNCTION("GOOGLETRANSLATE(B860, ""tr"", ""en"" )"),"To stay, not to disappear, to live")</f>
        <v>To stay, not to disappear, to live</v>
      </c>
    </row>
    <row r="861" spans="1:3" ht="14.25" customHeight="1" x14ac:dyDescent="0.3">
      <c r="A861" s="3" t="s">
        <v>1714</v>
      </c>
      <c r="B861" s="6" t="s">
        <v>1715</v>
      </c>
      <c r="C861" s="5" t="str">
        <f ca="1">IFERROR(__xludf.DUMMYFUNCTION("GOOGLETRANSLATE(B861, ""tr"", ""en"" )"),"Gaining experience from an event or behavior, grabing a share, determining the way to be kept")</f>
        <v>Gaining experience from an event or behavior, grabing a share, determining the way to be kept</v>
      </c>
    </row>
    <row r="862" spans="1:3" ht="14.25" customHeight="1" x14ac:dyDescent="0.3">
      <c r="A862" s="3" t="s">
        <v>1716</v>
      </c>
      <c r="B862" s="6" t="s">
        <v>1717</v>
      </c>
      <c r="C862" s="5" t="str">
        <f ca="1">IFERROR(__xludf.DUMMYFUNCTION("GOOGLETRANSLATE(B862, ""tr"", ""en"" )"),"Run too much and exhaust")</f>
        <v>Run too much and exhaust</v>
      </c>
    </row>
    <row r="863" spans="1:3" ht="14.25" customHeight="1" x14ac:dyDescent="0.3">
      <c r="A863" s="3" t="s">
        <v>1718</v>
      </c>
      <c r="B863" s="6" t="s">
        <v>1719</v>
      </c>
      <c r="C863" s="5" t="str">
        <f ca="1">IFERROR(__xludf.DUMMYFUNCTION("GOOGLETRANSLATE(B863, ""tr"", ""en"" )"),"To emerge, to appear, to occur")</f>
        <v>To emerge, to appear, to occur</v>
      </c>
    </row>
    <row r="864" spans="1:3" ht="14.25" customHeight="1" x14ac:dyDescent="0.3">
      <c r="A864" s="3" t="s">
        <v>1720</v>
      </c>
      <c r="B864" s="6" t="s">
        <v>1721</v>
      </c>
      <c r="C864" s="5" t="str">
        <f ca="1">IFERROR(__xludf.DUMMYFUNCTION("GOOGLETRANSLATE(B864, ""tr"", ""en"" )"),"Preparing to go somewhere by collecting almost all his belongings")</f>
        <v>Preparing to go somewhere by collecting almost all his belongings</v>
      </c>
    </row>
    <row r="865" spans="1:3" ht="14.25" customHeight="1" x14ac:dyDescent="0.3">
      <c r="A865" s="3" t="s">
        <v>1722</v>
      </c>
      <c r="B865" s="6" t="s">
        <v>1723</v>
      </c>
      <c r="C865" s="5" t="str">
        <f ca="1">IFERROR(__xludf.DUMMYFUNCTION("GOOGLETRANSLATE(B865, ""tr"", ""en"" )"),"Entering into behavior that will cause greater damage for something insignificant")</f>
        <v>Entering into behavior that will cause greater damage for something insignificant</v>
      </c>
    </row>
    <row r="866" spans="1:3" ht="14.25" customHeight="1" x14ac:dyDescent="0.3">
      <c r="A866" s="3" t="s">
        <v>1724</v>
      </c>
      <c r="B866" s="6" t="s">
        <v>1725</v>
      </c>
      <c r="C866" s="5" t="str">
        <f ca="1">IFERROR(__xludf.DUMMYFUNCTION("GOOGLETRANSLATE(B866, ""tr"", ""en"" )"),"Enlarge a small, simple event and make an issue, exaggerating over")</f>
        <v>Enlarge a small, simple event and make an issue, exaggerating over</v>
      </c>
    </row>
    <row r="867" spans="1:3" ht="14.25" customHeight="1" x14ac:dyDescent="0.3">
      <c r="A867" s="3" t="s">
        <v>1726</v>
      </c>
      <c r="B867" s="6" t="s">
        <v>1727</v>
      </c>
      <c r="C867" s="5" t="str">
        <f ca="1">IFERROR(__xludf.DUMMYFUNCTION("GOOGLETRANSLATE(B867, ""tr"", ""en"" )"),"To break or disrupt a business that is about to end")</f>
        <v>To break or disrupt a business that is about to end</v>
      </c>
    </row>
    <row r="868" spans="1:3" ht="14.25" customHeight="1" x14ac:dyDescent="0.3">
      <c r="A868" s="3" t="s">
        <v>1728</v>
      </c>
      <c r="B868" s="6" t="s">
        <v>1729</v>
      </c>
      <c r="C868" s="5" t="str">
        <f ca="1">IFERROR(__xludf.DUMMYFUNCTION("GOOGLETRANSLATE(B868, ""tr"", ""en"" )"),"Significant, ugly, unwarranted, laughing by showing your teeth")</f>
        <v>Significant, ugly, unwarranted, laughing by showing your teeth</v>
      </c>
    </row>
    <row r="869" spans="1:3" ht="14.25" customHeight="1" x14ac:dyDescent="0.3">
      <c r="A869" s="3" t="s">
        <v>1730</v>
      </c>
      <c r="B869" s="6" t="s">
        <v>1731</v>
      </c>
      <c r="C869" s="5" t="str">
        <f ca="1">IFERROR(__xludf.DUMMYFUNCTION("GOOGLETRANSLATE(B869, ""tr"", ""en"" )"),"Scare someone, intimidation, threatening")</f>
        <v>Scare someone, intimidation, threatening</v>
      </c>
    </row>
    <row r="870" spans="1:3" ht="14.25" customHeight="1" x14ac:dyDescent="0.3">
      <c r="A870" s="3" t="s">
        <v>1732</v>
      </c>
      <c r="B870" s="6" t="s">
        <v>1733</v>
      </c>
      <c r="C870" s="5" t="str">
        <f ca="1">IFERROR(__xludf.DUMMYFUNCTION("GOOGLETRANSLATE(B870, ""tr"", ""en"" )"),"Interrupting the relationship, going and ending the arrival")</f>
        <v>Interrupting the relationship, going and ending the arrival</v>
      </c>
    </row>
    <row r="871" spans="1:3" ht="14.25" customHeight="1" x14ac:dyDescent="0.3">
      <c r="A871" s="3" t="s">
        <v>1734</v>
      </c>
      <c r="B871" s="6" t="s">
        <v>1735</v>
      </c>
      <c r="C871" s="5" t="str">
        <f ca="1">IFERROR(__xludf.DUMMYFUNCTION("GOOGLETRANSLATE(B871, ""tr"", ""en"" )"),"The conflict of capturing an authority, business or power")</f>
        <v>The conflict of capturing an authority, business or power</v>
      </c>
    </row>
    <row r="872" spans="1:3" ht="14.25" customHeight="1" x14ac:dyDescent="0.3">
      <c r="A872" s="3" t="s">
        <v>1736</v>
      </c>
      <c r="B872" s="6" t="s">
        <v>1737</v>
      </c>
      <c r="C872" s="5" t="str">
        <f ca="1">IFERROR(__xludf.DUMMYFUNCTION("GOOGLETRANSLATE(B872, ""tr"", ""en"" )"),"Drinking the danger of life, escaping from where the danger of being killed")</f>
        <v>Drinking the danger of life, escaping from where the danger of being killed</v>
      </c>
    </row>
    <row r="873" spans="1:3" ht="14.25" customHeight="1" x14ac:dyDescent="0.3">
      <c r="A873" s="3" t="s">
        <v>1738</v>
      </c>
      <c r="B873" s="6" t="s">
        <v>1739</v>
      </c>
      <c r="C873" s="5" t="str">
        <f ca="1">IFERROR(__xludf.DUMMYFUNCTION("GOOGLETRANSLATE(B873, ""tr"", ""en"" )"),"Staying for a long time where he goes for a short time, disrespectful and irresponsible")</f>
        <v>Staying for a long time where he goes for a short time, disrespectful and irresponsible</v>
      </c>
    </row>
    <row r="874" spans="1:3" ht="14.25" customHeight="1" x14ac:dyDescent="0.3">
      <c r="A874" s="3" t="s">
        <v>1740</v>
      </c>
      <c r="B874" s="6" t="s">
        <v>1741</v>
      </c>
      <c r="C874" s="5" t="str">
        <f ca="1">IFERROR(__xludf.DUMMYFUNCTION("GOOGLETRANSLATE(B874, ""tr"", ""en"" )"),"To make a blunder, to say a word that will break the other person by not being aware of")</f>
        <v>To make a blunder, to say a word that will break the other person by not being aware of</v>
      </c>
    </row>
    <row r="875" spans="1:3" ht="14.25" customHeight="1" x14ac:dyDescent="0.3">
      <c r="A875" s="3" t="s">
        <v>1742</v>
      </c>
      <c r="B875" s="6" t="s">
        <v>1743</v>
      </c>
      <c r="C875" s="5" t="str">
        <f ca="1">IFERROR(__xludf.DUMMYFUNCTION("GOOGLETRANSLATE(B875, ""tr"", ""en"" )"),"As much as possible, without dependent on anything")</f>
        <v>As much as possible, without dependent on anything</v>
      </c>
    </row>
    <row r="876" spans="1:3" ht="14.25" customHeight="1" x14ac:dyDescent="0.3">
      <c r="A876" s="3" t="s">
        <v>1744</v>
      </c>
      <c r="B876" s="6" t="s">
        <v>1745</v>
      </c>
      <c r="C876" s="5" t="str">
        <f ca="1">IFERROR(__xludf.DUMMYFUNCTION("GOOGLETRANSLATE(B876, ""tr"", ""en"" )"),"Falling into a situation that doesn't know what to do")</f>
        <v>Falling into a situation that doesn't know what to do</v>
      </c>
    </row>
    <row r="877" spans="1:3" ht="14.25" customHeight="1" x14ac:dyDescent="0.3">
      <c r="A877" s="3" t="s">
        <v>1746</v>
      </c>
      <c r="B877" s="6" t="s">
        <v>1747</v>
      </c>
      <c r="C877" s="5" t="str">
        <f ca="1">IFERROR(__xludf.DUMMYFUNCTION("GOOGLETRANSLATE(B877, ""tr"", ""en"" )"),"With a unknown, silent, meaningless look")</f>
        <v>With a unknown, silent, meaningless look</v>
      </c>
    </row>
    <row r="878" spans="1:3" ht="14.25" customHeight="1" x14ac:dyDescent="0.3">
      <c r="A878" s="3" t="s">
        <v>1748</v>
      </c>
      <c r="B878" s="6" t="s">
        <v>1749</v>
      </c>
      <c r="C878" s="5" t="str">
        <f ca="1">IFERROR(__xludf.DUMMYFUNCTION("GOOGLETRANSLATE(B878, ""tr"", ""en"" )"),"Stay in a silent, unknown")</f>
        <v>Stay in a silent, unknown</v>
      </c>
    </row>
    <row r="879" spans="1:3" ht="14.25" customHeight="1" x14ac:dyDescent="0.3">
      <c r="A879" s="3" t="s">
        <v>1750</v>
      </c>
      <c r="B879" s="6" t="s">
        <v>1751</v>
      </c>
      <c r="C879" s="5" t="str">
        <f ca="1">IFERROR(__xludf.DUMMYFUNCTION("GOOGLETRANSLATE(B879, ""tr"", ""en"" )"),"It is not possible to get rid of it, great distress, harmful person or thing")</f>
        <v>It is not possible to get rid of it, great distress, harmful person or thing</v>
      </c>
    </row>
    <row r="880" spans="1:3" ht="14.25" customHeight="1" x14ac:dyDescent="0.3">
      <c r="A880" s="3" t="s">
        <v>1752</v>
      </c>
      <c r="B880" s="6" t="s">
        <v>1753</v>
      </c>
      <c r="C880" s="5" t="str">
        <f ca="1">IFERROR(__xludf.DUMMYFUNCTION("GOOGLETRANSLATE(B880, ""tr"", ""en"" )"),"Not to focus on a job anymore, to push it aside, to neglect")</f>
        <v>Not to focus on a job anymore, to push it aside, to neglect</v>
      </c>
    </row>
    <row r="881" spans="1:3" ht="14.25" customHeight="1" x14ac:dyDescent="0.3">
      <c r="A881" s="3" t="s">
        <v>1754</v>
      </c>
      <c r="B881" s="6" t="s">
        <v>1755</v>
      </c>
      <c r="C881" s="5" t="str">
        <f ca="1">IFERROR(__xludf.DUMMYFUNCTION("GOOGLETRANSLATE(B881, ""tr"", ""en"" )"),"Trying to get comfortable without ignoring anything")</f>
        <v>Trying to get comfortable without ignoring anything</v>
      </c>
    </row>
    <row r="882" spans="1:3" ht="14.25" customHeight="1" x14ac:dyDescent="0.3">
      <c r="A882" s="3" t="s">
        <v>1756</v>
      </c>
      <c r="B882" s="6" t="s">
        <v>1757</v>
      </c>
      <c r="C882" s="5" t="str">
        <f ca="1">IFERROR(__xludf.DUMMYFUNCTION("GOOGLETRANSLATE(B882, ""tr"", ""en"" )"),"People who abandoned for reasons that will not have that place when they are in a comfortable, good place")</f>
        <v>People who abandoned for reasons that will not have that place when they are in a comfortable, good place</v>
      </c>
    </row>
    <row r="883" spans="1:3" ht="14.25" customHeight="1" x14ac:dyDescent="0.3">
      <c r="A883" s="3" t="s">
        <v>1758</v>
      </c>
      <c r="B883" s="6" t="s">
        <v>1759</v>
      </c>
      <c r="C883" s="5" t="str">
        <f ca="1">IFERROR(__xludf.DUMMYFUNCTION("GOOGLETRANSLATE(B883, ""tr"", ""en"" )"),"Peace, abundance, not to see any comfort; to be in constant distress, stenosis")</f>
        <v>Peace, abundance, not to see any comfort; to be in constant distress, stenosis</v>
      </c>
    </row>
    <row r="884" spans="1:3" ht="14.25" customHeight="1" x14ac:dyDescent="0.3">
      <c r="A884" s="3" t="s">
        <v>1760</v>
      </c>
      <c r="B884" s="6" t="s">
        <v>1761</v>
      </c>
      <c r="C884" s="5" t="str">
        <f ca="1">IFERROR(__xludf.DUMMYFUNCTION("GOOGLETRANSLATE(B884, ""tr"", ""en"" )"),"Develop a job as desired")</f>
        <v>Develop a job as desired</v>
      </c>
    </row>
    <row r="885" spans="1:3" ht="14.25" customHeight="1" x14ac:dyDescent="0.3">
      <c r="A885" s="3" t="s">
        <v>1762</v>
      </c>
      <c r="B885" s="6" t="s">
        <v>1763</v>
      </c>
      <c r="C885" s="5" t="str">
        <f ca="1">IFERROR(__xludf.DUMMYFUNCTION("GOOGLETRANSLATE(B885, ""tr"", ""en"" )"),"Putting a job that has become disrupted, irregularly")</f>
        <v>Putting a job that has become disrupted, irregularly</v>
      </c>
    </row>
    <row r="886" spans="1:3" ht="14.25" customHeight="1" x14ac:dyDescent="0.3">
      <c r="A886" s="3" t="s">
        <v>1764</v>
      </c>
      <c r="B886" s="6" t="s">
        <v>1765</v>
      </c>
      <c r="C886" s="5" t="str">
        <f ca="1">IFERROR(__xludf.DUMMYFUNCTION("GOOGLETRANSLATE(B886, ""tr"", ""en"" )"),"Fear, excitement")</f>
        <v>Fear, excitement</v>
      </c>
    </row>
    <row r="887" spans="1:3" ht="14.25" customHeight="1" x14ac:dyDescent="0.3">
      <c r="A887" s="3" t="s">
        <v>1766</v>
      </c>
      <c r="B887" s="6" t="s">
        <v>1767</v>
      </c>
      <c r="C887" s="5" t="str">
        <f ca="1">IFERROR(__xludf.DUMMYFUNCTION("GOOGLETRANSLATE(B887, ""tr"", ""en"" )"),"Change the color of your face due to excitement, fear and shame, to be bored")</f>
        <v>Change the color of your face due to excitement, fear and shame, to be bored</v>
      </c>
    </row>
    <row r="888" spans="1:3" ht="14.25" customHeight="1" x14ac:dyDescent="0.3">
      <c r="A888" s="3" t="s">
        <v>1768</v>
      </c>
      <c r="B888" s="6" t="s">
        <v>1769</v>
      </c>
      <c r="C888" s="5" t="str">
        <f ca="1">IFERROR(__xludf.DUMMYFUNCTION("GOOGLETRANSLATE(B888, ""tr"", ""en"" )"),"Not to show their feelings and thoughts on a subject; to look like you don't know even though he knows")</f>
        <v>Not to show their feelings and thoughts on a subject; to look like you don't know even though he knows</v>
      </c>
    </row>
    <row r="889" spans="1:3" ht="14.25" customHeight="1" x14ac:dyDescent="0.3">
      <c r="A889" s="3" t="s">
        <v>1770</v>
      </c>
      <c r="B889" s="6" t="s">
        <v>1771</v>
      </c>
      <c r="C889" s="5" t="str">
        <f ca="1">IFERROR(__xludf.DUMMYFUNCTION("GOOGLETRANSLATE(B889, ""tr"", ""en"" )"),"Taking a definite attitude, saying the last word on any subject")</f>
        <v>Taking a definite attitude, saying the last word on any subject</v>
      </c>
    </row>
    <row r="890" spans="1:3" ht="14.25" customHeight="1" x14ac:dyDescent="0.3">
      <c r="A890" s="3" t="s">
        <v>1772</v>
      </c>
      <c r="B890" s="6" t="s">
        <v>1773</v>
      </c>
      <c r="C890" s="5" t="str">
        <f ca="1">IFERROR(__xludf.DUMMYFUNCTION("GOOGLETRANSLATE(B890, ""tr"", ""en"" )"),"Not to understand; No information, not to be news; be able to sense what's going on")</f>
        <v>Not to understand; No information, not to be news; be able to sense what's going on</v>
      </c>
    </row>
    <row r="891" spans="1:3" ht="14.25" customHeight="1" x14ac:dyDescent="0.3">
      <c r="A891" s="3" t="s">
        <v>1774</v>
      </c>
      <c r="B891" s="6" t="s">
        <v>1775</v>
      </c>
      <c r="C891" s="5" t="str">
        <f ca="1">IFERROR(__xludf.DUMMYFUNCTION("GOOGLETRANSLATE(B891, ""tr"", ""en"" )"),"To die")</f>
        <v>To die</v>
      </c>
    </row>
    <row r="892" spans="1:3" ht="14.25" customHeight="1" x14ac:dyDescent="0.3">
      <c r="A892" s="3" t="s">
        <v>1776</v>
      </c>
      <c r="B892" s="6" t="s">
        <v>1777</v>
      </c>
      <c r="C892" s="5" t="str">
        <f ca="1">IFERROR(__xludf.DUMMYFUNCTION("GOOGLETRANSLATE(B892, ""tr"", ""en"" )"),"Not to mind that it will happen, not to give it a possibility")</f>
        <v>Not to mind that it will happen, not to give it a possibility</v>
      </c>
    </row>
    <row r="893" spans="1:3" ht="14.25" customHeight="1" x14ac:dyDescent="0.3">
      <c r="A893" s="3" t="s">
        <v>1778</v>
      </c>
      <c r="B893" s="6" t="s">
        <v>1779</v>
      </c>
      <c r="C893" s="5" t="str">
        <f ca="1">IFERROR(__xludf.DUMMYFUNCTION("GOOGLETRANSLATE(B893, ""tr"", ""en"" )"),"To take all kinds of measures against an unwanted situation or a development that may occur")</f>
        <v>To take all kinds of measures against an unwanted situation or a development that may occur</v>
      </c>
    </row>
    <row r="894" spans="1:3" ht="14.25" customHeight="1" x14ac:dyDescent="0.3">
      <c r="A894" s="3" t="s">
        <v>1780</v>
      </c>
      <c r="B894" s="6" t="s">
        <v>1781</v>
      </c>
      <c r="C894" s="5" t="str">
        <f ca="1">IFERROR(__xludf.DUMMYFUNCTION("GOOGLETRANSLATE(B894, ""tr"", ""en"" )"),"A person's situation, habit often changes")</f>
        <v>A person's situation, habit often changes</v>
      </c>
    </row>
    <row r="895" spans="1:3" ht="14.25" customHeight="1" x14ac:dyDescent="0.3">
      <c r="A895" s="3" t="s">
        <v>1782</v>
      </c>
      <c r="B895" s="6" t="s">
        <v>1783</v>
      </c>
      <c r="C895" s="5" t="str">
        <f ca="1">IFERROR(__xludf.DUMMYFUNCTION("GOOGLETRANSLATE(B895, ""tr"", ""en"" )"),"Dying before morning, not being able to live until morning")</f>
        <v>Dying before morning, not being able to live until morning</v>
      </c>
    </row>
    <row r="896" spans="1:3" ht="14.25" customHeight="1" x14ac:dyDescent="0.3">
      <c r="A896" s="3" t="s">
        <v>1784</v>
      </c>
      <c r="B896" s="6" t="s">
        <v>1785</v>
      </c>
      <c r="C896" s="5" t="str">
        <f ca="1">IFERROR(__xludf.DUMMYFUNCTION("GOOGLETRANSLATE(B896, ""tr"", ""en"" )"),"Morning, not sleeping until the morning")</f>
        <v>Morning, not sleeping until the morning</v>
      </c>
    </row>
    <row r="897" spans="1:3" ht="14.25" customHeight="1" x14ac:dyDescent="0.3">
      <c r="A897" s="3" t="s">
        <v>1786</v>
      </c>
      <c r="B897" s="6" t="s">
        <v>1787</v>
      </c>
      <c r="C897" s="5" t="str">
        <f ca="1">IFERROR(__xludf.DUMMYFUNCTION("GOOGLETRANSLATE(B897, ""tr"", ""en"" )"),"Very early, without dawning yet, at the earliest in the morning")</f>
        <v>Very early, without dawning yet, at the earliest in the morning</v>
      </c>
    </row>
    <row r="898" spans="1:3" ht="14.25" customHeight="1" x14ac:dyDescent="0.3">
      <c r="A898" s="3" t="s">
        <v>1788</v>
      </c>
      <c r="B898" s="6" t="s">
        <v>1789</v>
      </c>
      <c r="C898" s="5" t="str">
        <f ca="1">IFERROR(__xludf.DUMMYFUNCTION("GOOGLETRANSLATE(B898, ""tr"", ""en"" )"),"Very patient, who endured all kinds of troubles")</f>
        <v>Very patient, who endured all kinds of troubles</v>
      </c>
    </row>
    <row r="899" spans="1:3" ht="14.25" customHeight="1" x14ac:dyDescent="0.3">
      <c r="A899" s="3" t="s">
        <v>1790</v>
      </c>
      <c r="B899" s="6" t="s">
        <v>1791</v>
      </c>
      <c r="C899" s="5" t="str">
        <f ca="1">IFERROR(__xludf.DUMMYFUNCTION("GOOGLETRANSLATE(B899, ""tr"", ""en"" )"),"To be able to endure, to stand, to be patient; no tolerate power")</f>
        <v>To be able to endure, to stand, to be patient; no tolerate power</v>
      </c>
    </row>
    <row r="900" spans="1:3" ht="14.25" customHeight="1" x14ac:dyDescent="0.3">
      <c r="A900" s="3" t="s">
        <v>1792</v>
      </c>
      <c r="B900" s="6" t="s">
        <v>1793</v>
      </c>
      <c r="C900" s="5" t="str">
        <f ca="1">IFERROR(__xludf.DUMMYFUNCTION("GOOGLETRANSLATE(B900, ""tr"", ""en"" )"),"To work for a long time and worry")</f>
        <v>To work for a long time and worry</v>
      </c>
    </row>
    <row r="901" spans="1:3" ht="14.25" customHeight="1" x14ac:dyDescent="0.3">
      <c r="A901" s="3" t="s">
        <v>1794</v>
      </c>
      <c r="B901" s="6" t="s">
        <v>1795</v>
      </c>
      <c r="C901" s="5" t="str">
        <f ca="1">IFERROR(__xludf.DUMMYFUNCTION("GOOGLETRANSLATE(B901, ""tr"", ""en"" )"),"Getting older, starting old")</f>
        <v>Getting older, starting old</v>
      </c>
    </row>
    <row r="902" spans="1:3" ht="14.25" customHeight="1" x14ac:dyDescent="0.3">
      <c r="A902" s="3" t="s">
        <v>1796</v>
      </c>
      <c r="B902" s="6" t="s">
        <v>1797</v>
      </c>
      <c r="C902" s="5" t="str">
        <f ca="1">IFERROR(__xludf.DUMMYFUNCTION("GOOGLETRANSLATE(B902, ""tr"", ""en"" )"),"Working and serving with great desire, working with someone with devotion")</f>
        <v>Working and serving with great desire, working with someone with devotion</v>
      </c>
    </row>
    <row r="903" spans="1:3" ht="14.25" customHeight="1" x14ac:dyDescent="0.3">
      <c r="A903" s="3" t="s">
        <v>1798</v>
      </c>
      <c r="B903" s="6" t="s">
        <v>1799</v>
      </c>
      <c r="C903" s="5" t="str">
        <f ca="1">IFERROR(__xludf.DUMMYFUNCTION("GOOGLETRANSLATE(B903, ""tr"", ""en"" )"),"Carrying in a fierce fight, fighting each other and fighting")</f>
        <v>Carrying in a fierce fight, fighting each other and fighting</v>
      </c>
    </row>
    <row r="904" spans="1:3" ht="14.25" customHeight="1" x14ac:dyDescent="0.3">
      <c r="A904" s="3" t="s">
        <v>1800</v>
      </c>
      <c r="B904" s="6" t="s">
        <v>1801</v>
      </c>
      <c r="C904" s="5" t="str">
        <f ca="1">IFERROR(__xludf.DUMMYFUNCTION("GOOGLETRANSLATE(B904, ""tr"", ""en"" )"),"Being miserable, for a long time, hair and beard shave, not to regulate themselves")</f>
        <v>Being miserable, for a long time, hair and beard shave, not to regulate themselves</v>
      </c>
    </row>
    <row r="905" spans="1:3" ht="14.25" customHeight="1" x14ac:dyDescent="0.3">
      <c r="A905" s="3" t="s">
        <v>1802</v>
      </c>
      <c r="B905" s="6" t="s">
        <v>1803</v>
      </c>
      <c r="C905" s="5" t="str">
        <f ca="1">IFERROR(__xludf.DUMMYFUNCTION("GOOGLETRANSLATE(B905, ""tr"", ""en"" )"),"To be very jealous of, tremble on")</f>
        <v>To be very jealous of, tremble on</v>
      </c>
    </row>
    <row r="906" spans="1:3" ht="14.25" customHeight="1" x14ac:dyDescent="0.3">
      <c r="A906" s="3" t="s">
        <v>1804</v>
      </c>
      <c r="B906" s="6" t="s">
        <v>1805</v>
      </c>
      <c r="C906" s="5" t="str">
        <f ca="1">IFERROR(__xludf.DUMMYFUNCTION("GOOGLETRANSLATE(B906, ""tr"", ""en"" )")," There was no one left, almost everyone heard")</f>
        <v xml:space="preserve"> There was no one left, almost everyone heard</v>
      </c>
    </row>
    <row r="907" spans="1:3" ht="14.25" customHeight="1" x14ac:dyDescent="0.3">
      <c r="A907" s="3" t="s">
        <v>1806</v>
      </c>
      <c r="B907" s="6" t="s">
        <v>1807</v>
      </c>
      <c r="C907" s="5" t="str">
        <f ca="1">IFERROR(__xludf.DUMMYFUNCTION("GOOGLETRANSLATE(B907, ""tr"", ""en"" )"),"Not to act in the face of a situation, what a attitude will not be clear")</f>
        <v>Not to act in the face of a situation, what a attitude will not be clear</v>
      </c>
    </row>
    <row r="908" spans="1:3" ht="14.25" customHeight="1" x14ac:dyDescent="0.3">
      <c r="A908" s="3" t="s">
        <v>1808</v>
      </c>
      <c r="B908" s="6" t="s">
        <v>1809</v>
      </c>
      <c r="C908" s="5" t="str">
        <f ca="1">IFERROR(__xludf.DUMMYFUNCTION("GOOGLETRANSLATE(B908, ""tr"", ""en"" )"),"Putting measures to enable a job to walk without interruption")</f>
        <v>Putting measures to enable a job to walk without interruption</v>
      </c>
    </row>
    <row r="909" spans="1:3" ht="14.25" customHeight="1" x14ac:dyDescent="0.3">
      <c r="A909" s="3" t="s">
        <v>1810</v>
      </c>
      <c r="B909" s="6" t="s">
        <v>1811</v>
      </c>
      <c r="C909" s="5" t="str">
        <f ca="1">IFERROR(__xludf.DUMMYFUNCTION("GOOGLETRANSLATE(B909, ""tr"", ""en"" )"),"It is unreliable with its accuracy and honor; personality doubt")</f>
        <v>It is unreliable with its accuracy and honor; personality doubt</v>
      </c>
    </row>
    <row r="910" spans="1:3" ht="14.25" customHeight="1" x14ac:dyDescent="0.3">
      <c r="A910" s="3" t="s">
        <v>1812</v>
      </c>
      <c r="B910" s="6" t="s">
        <v>1813</v>
      </c>
      <c r="C910" s="5" t="str">
        <f ca="1">IFERROR(__xludf.DUMMYFUNCTION("GOOGLETRANSLATE(B910, ""tr"", ""en"" )"),"To fall into a situation that will not come out of someone else's word, entering someone's administration")</f>
        <v>To fall into a situation that will not come out of someone else's word, entering someone's administration</v>
      </c>
    </row>
    <row r="911" spans="1:3" ht="14.25" customHeight="1" x14ac:dyDescent="0.3">
      <c r="A911" s="3" t="s">
        <v>1814</v>
      </c>
      <c r="B911" s="6" t="s">
        <v>1815</v>
      </c>
      <c r="C911" s="5" t="str">
        <f ca="1">IFERROR(__xludf.DUMMYFUNCTION("GOOGLETRANSLATE(B911, ""tr"", ""en"" )"),"Not to let go, not to leave, try to get what you want")</f>
        <v>Not to let go, not to leave, try to get what you want</v>
      </c>
    </row>
    <row r="912" spans="1:3" ht="14.25" customHeight="1" x14ac:dyDescent="0.3">
      <c r="A912" s="3" t="s">
        <v>1816</v>
      </c>
      <c r="B912" s="6" t="s">
        <v>1817</v>
      </c>
      <c r="C912" s="5" t="str">
        <f ca="1">IFERROR(__xludf.DUMMYFUNCTION("GOOGLETRANSLATE(B912, ""tr"", ""en"" )"),"Dispersed, irregular")</f>
        <v>Dispersed, irregular</v>
      </c>
    </row>
    <row r="913" spans="1:3" ht="14.25" customHeight="1" x14ac:dyDescent="0.3">
      <c r="A913" s="3" t="s">
        <v>1818</v>
      </c>
      <c r="B913" s="6" t="s">
        <v>1819</v>
      </c>
      <c r="C913" s="5" t="str">
        <f ca="1">IFERROR(__xludf.DUMMYFUNCTION("GOOGLETRANSLATE(B913, ""tr"", ""en"" )"),"Not being able to connect to a solution, staying without knowing how it will be")</f>
        <v>Not being able to connect to a solution, staying without knowing how it will be</v>
      </c>
    </row>
    <row r="914" spans="1:3" ht="14.25" customHeight="1" x14ac:dyDescent="0.3">
      <c r="A914" s="3" t="s">
        <v>1820</v>
      </c>
      <c r="B914" s="6" t="s">
        <v>1821</v>
      </c>
      <c r="C914" s="5" t="str">
        <f ca="1">IFERROR(__xludf.DUMMYFUNCTION("GOOGLETRANSLATE(B914, ""tr"", ""en"" )"),"Living in abundance, productivity")</f>
        <v>Living in abundance, productivity</v>
      </c>
    </row>
    <row r="915" spans="1:3" ht="14.25" customHeight="1" x14ac:dyDescent="0.3">
      <c r="A915" s="3" t="s">
        <v>1822</v>
      </c>
      <c r="B915" s="6" t="s">
        <v>1823</v>
      </c>
      <c r="C915" s="5" t="str">
        <f ca="1">IFERROR(__xludf.DUMMYFUNCTION("GOOGLETRANSLATE(B915, ""tr"", ""en"" )"),"Turning a job without sensing anybody, confusing the place")</f>
        <v>Turning a job without sensing anybody, confusing the place</v>
      </c>
    </row>
    <row r="916" spans="1:3" ht="14.25" customHeight="1" x14ac:dyDescent="0.3">
      <c r="A916" s="3" t="s">
        <v>1824</v>
      </c>
      <c r="B916" s="6" t="s">
        <v>1825</v>
      </c>
      <c r="C916" s="5" t="str">
        <f ca="1">IFERROR(__xludf.DUMMYFUNCTION("GOOGLETRANSLATE(B916, ""tr"", ""en"" )"),"Who is unknown")</f>
        <v>Who is unknown</v>
      </c>
    </row>
    <row r="917" spans="1:3" ht="14.25" customHeight="1" x14ac:dyDescent="0.3">
      <c r="A917" s="3" t="s">
        <v>1826</v>
      </c>
      <c r="B917" s="6" t="s">
        <v>1827</v>
      </c>
      <c r="C917" s="5" t="str">
        <f ca="1">IFERROR(__xludf.DUMMYFUNCTION("GOOGLETRANSLATE(B917, ""tr"", ""en"" )"),"A job, taking a very difficult situation to solve; difficulties")</f>
        <v>A job, taking a very difficult situation to solve; difficulties</v>
      </c>
    </row>
    <row r="918" spans="1:3" ht="14.25" customHeight="1" x14ac:dyDescent="0.3">
      <c r="A918" s="3" t="s">
        <v>1828</v>
      </c>
      <c r="B918" s="6" t="s">
        <v>1829</v>
      </c>
      <c r="C918" s="5" t="str">
        <f ca="1">IFERROR(__xludf.DUMMYFUNCTION("GOOGLETRANSLATE(B918, ""tr"", ""en"" )"),"Selling the goods or goods at the expense of no, selling and consuming cheaply")</f>
        <v>Selling the goods or goods at the expense of no, selling and consuming cheaply</v>
      </c>
    </row>
    <row r="919" spans="1:3" ht="14.25" customHeight="1" x14ac:dyDescent="0.3">
      <c r="A919" s="3" t="s">
        <v>1830</v>
      </c>
      <c r="B919" s="6" t="s">
        <v>1831</v>
      </c>
      <c r="C919" s="5" t="str">
        <f ca="1">IFERROR(__xludf.DUMMYFUNCTION("GOOGLETRANSLATE(B919, ""tr"", ""en"" )"),"Saying all, to say all, to sort one after the other")</f>
        <v>Saying all, to say all, to sort one after the other</v>
      </c>
    </row>
    <row r="920" spans="1:3" ht="14.25" customHeight="1" x14ac:dyDescent="0.3">
      <c r="A920" s="3" t="s">
        <v>1832</v>
      </c>
      <c r="B920" s="6" t="s">
        <v>1833</v>
      </c>
      <c r="C920" s="5" t="str">
        <f ca="1">IFERROR(__xludf.DUMMYFUNCTION("GOOGLETRANSLATE(B920, ""tr"", ""en"" )"),"Giving plenty, distributing")</f>
        <v>Giving plenty, distributing</v>
      </c>
    </row>
    <row r="921" spans="1:3" ht="14.25" customHeight="1" x14ac:dyDescent="0.3">
      <c r="A921" s="3" t="s">
        <v>1834</v>
      </c>
      <c r="B921" s="6" t="s">
        <v>1835</v>
      </c>
      <c r="C921" s="5" t="str">
        <f ca="1">IFERROR(__xludf.DUMMYFUNCTION("GOOGLETRANSLATE(B921, ""tr"", ""en"" )"),"Be able to stand up")</f>
        <v>Be able to stand up</v>
      </c>
    </row>
    <row r="922" spans="1:3" ht="14.25" customHeight="1" x14ac:dyDescent="0.3">
      <c r="A922" s="3" t="s">
        <v>1836</v>
      </c>
      <c r="B922" s="6" t="s">
        <v>1837</v>
      </c>
      <c r="C922" s="5" t="str">
        <f ca="1">IFERROR(__xludf.DUMMYFUNCTION("GOOGLETRANSLATE(B922, ""tr"", ""en"" )"),"To enter a job using all the opportunities at hand")</f>
        <v>To enter a job using all the opportunities at hand</v>
      </c>
    </row>
    <row r="923" spans="1:3" ht="14.25" customHeight="1" x14ac:dyDescent="0.3">
      <c r="A923" s="3" t="s">
        <v>1838</v>
      </c>
      <c r="B923" s="6" t="s">
        <v>1839</v>
      </c>
      <c r="C923" s="5" t="str">
        <f ca="1">IFERROR(__xludf.DUMMYFUNCTION("GOOGLETRANSLATE(B923, ""tr"", ""en"" )"),"To cut friendship, friendship, dude, to end all kinds of relationships; not to respond to his greetings")</f>
        <v>To cut friendship, friendship, dude, to end all kinds of relationships; not to respond to his greetings</v>
      </c>
    </row>
    <row r="924" spans="1:3" ht="14.25" customHeight="1" x14ac:dyDescent="0.3">
      <c r="A924" s="3" t="s">
        <v>1840</v>
      </c>
      <c r="B924" s="6" t="s">
        <v>1841</v>
      </c>
      <c r="C924" s="5" t="str">
        <f ca="1">IFERROR(__xludf.DUMMYFUNCTION("GOOGLETRANSLATE(B924, ""tr"", ""en"" )"),"To be on a job immediately in exchange for showing a little interest")</f>
        <v>To be on a job immediately in exchange for showing a little interest</v>
      </c>
    </row>
    <row r="925" spans="1:3" ht="14.25" customHeight="1" x14ac:dyDescent="0.3">
      <c r="A925" s="3" t="s">
        <v>1842</v>
      </c>
      <c r="B925" s="6" t="s">
        <v>1843</v>
      </c>
      <c r="C925" s="5" t="str">
        <f ca="1">IFERROR(__xludf.DUMMYFUNCTION("GOOGLETRANSLATE(B925, ""tr"", ""en"" )"),"I know these games better than you, I am more experienced, you can't cheat me")</f>
        <v>I know these games better than you, I am more experienced, you can't cheat me</v>
      </c>
    </row>
    <row r="926" spans="1:3" ht="14.25" customHeight="1" x14ac:dyDescent="0.3">
      <c r="A926" s="3" t="s">
        <v>1844</v>
      </c>
      <c r="B926" s="6" t="s">
        <v>1845</v>
      </c>
      <c r="C926" s="5" t="str">
        <f ca="1">IFERROR(__xludf.DUMMYFUNCTION("GOOGLETRANSLATE(B926, ""tr"", ""en"" )"),"To be very sincere, sincere, without bid")</f>
        <v>To be very sincere, sincere, without bid</v>
      </c>
    </row>
    <row r="927" spans="1:3" ht="14.25" customHeight="1" x14ac:dyDescent="0.3">
      <c r="A927" s="3" t="s">
        <v>1846</v>
      </c>
      <c r="B927" s="6" t="s">
        <v>1847</v>
      </c>
      <c r="C927" s="5" t="str">
        <f ca="1">IFERROR(__xludf.DUMMYFUNCTION("GOOGLETRANSLATE(B927, ""tr"", ""en"" )"),"The job ended, there is nothing left to do anymore")</f>
        <v>The job ended, there is nothing left to do anymore</v>
      </c>
    </row>
    <row r="928" spans="1:3" ht="14.25" customHeight="1" x14ac:dyDescent="0.3">
      <c r="A928" s="3" t="s">
        <v>1848</v>
      </c>
      <c r="B928" s="6" t="s">
        <v>1849</v>
      </c>
      <c r="C928" s="5" t="str">
        <f ca="1">IFERROR(__xludf.DUMMYFUNCTION("GOOGLETRANSLATE(B928, ""tr"", ""en"" )"),"Freely, not cramped, freely")</f>
        <v>Freely, not cramped, freely</v>
      </c>
    </row>
    <row r="929" spans="1:3" ht="14.25" customHeight="1" x14ac:dyDescent="0.3">
      <c r="A929" s="3" t="s">
        <v>1850</v>
      </c>
      <c r="B929" s="6" t="s">
        <v>1851</v>
      </c>
      <c r="C929" s="5" t="str">
        <f ca="1">IFERROR(__xludf.DUMMYFUNCTION("GOOGLETRANSLATE(B929, ""tr"", ""en"" )"),"Eating and finishing his money, losing his job and money, sinking")</f>
        <v>Eating and finishing his money, losing his job and money, sinking</v>
      </c>
    </row>
    <row r="930" spans="1:3" ht="14.25" customHeight="1" x14ac:dyDescent="0.3">
      <c r="A930" s="3" t="s">
        <v>1852</v>
      </c>
      <c r="B930" s="6" t="s">
        <v>1853</v>
      </c>
      <c r="C930" s="5" t="str">
        <f ca="1">IFERROR(__xludf.DUMMYFUNCTION("GOOGLETRANSLATE(B930, ""tr"", ""en"" )"),"Honest, reliable, to be tight; No matter how hard it is, not telling anyone his secret")</f>
        <v>Honest, reliable, to be tight; No matter how hard it is, not telling anyone his secret</v>
      </c>
    </row>
    <row r="931" spans="1:3" ht="14.25" customHeight="1" x14ac:dyDescent="0.3">
      <c r="A931" s="3" t="s">
        <v>1854</v>
      </c>
      <c r="B931" s="6" t="s">
        <v>1855</v>
      </c>
      <c r="C931" s="5" t="str">
        <f ca="1">IFERROR(__xludf.DUMMYFUNCTION("GOOGLETRANSLATE(B931, ""tr"", ""en"" )"),"Not to appeal, to tolerate")</f>
        <v>Not to appeal, to tolerate</v>
      </c>
    </row>
    <row r="932" spans="1:3" ht="14.25" customHeight="1" x14ac:dyDescent="0.3">
      <c r="A932" s="3" t="s">
        <v>1856</v>
      </c>
      <c r="B932" s="6" t="s">
        <v>1857</v>
      </c>
      <c r="C932" s="5" t="str">
        <f ca="1">IFERROR(__xludf.DUMMYFUNCTION("GOOGLETRANSLATE(B932, ""tr"", ""en"" )"),"Not reacting to an event, not interfering")</f>
        <v>Not reacting to an event, not interfering</v>
      </c>
    </row>
    <row r="933" spans="1:3" ht="14.25" customHeight="1" x14ac:dyDescent="0.3">
      <c r="A933" s="3" t="s">
        <v>1858</v>
      </c>
      <c r="B933" s="6" t="s">
        <v>1859</v>
      </c>
      <c r="C933" s="5" t="str">
        <f ca="1">IFERROR(__xludf.DUMMYFUNCTION("GOOGLETRANSLATE(B933, ""tr"", ""en"" )"),"Immediately, without much time passing over the incident, without forgetting")</f>
        <v>Immediately, without much time passing over the incident, without forgetting</v>
      </c>
    </row>
    <row r="934" spans="1:3" ht="14.25" customHeight="1" x14ac:dyDescent="0.3">
      <c r="A934" s="3" t="s">
        <v>1860</v>
      </c>
      <c r="B934" s="6" t="s">
        <v>1861</v>
      </c>
      <c r="C934" s="5" t="str">
        <f ca="1">IFERROR(__xludf.DUMMYFUNCTION("GOOGLETRANSLATE(B934, ""tr"", ""en"" )"),"Cute, friendly, sympathetic")</f>
        <v>Cute, friendly, sympathetic</v>
      </c>
    </row>
    <row r="935" spans="1:3" ht="14.25" customHeight="1" x14ac:dyDescent="0.3">
      <c r="A935" s="3" t="s">
        <v>1862</v>
      </c>
      <c r="B935" s="6" t="s">
        <v>1863</v>
      </c>
      <c r="C935" s="5" t="str">
        <f ca="1">IFERROR(__xludf.DUMMYFUNCTION("GOOGLETRANSLATE(B935, ""tr"", ""en"" )"),"Being cool from someone, disgusting")</f>
        <v>Being cool from someone, disgusting</v>
      </c>
    </row>
    <row r="936" spans="1:3" ht="14.25" customHeight="1" x14ac:dyDescent="0.3">
      <c r="A936" s="3" t="s">
        <v>1864</v>
      </c>
      <c r="B936" s="6" t="s">
        <v>1865</v>
      </c>
      <c r="C936" s="5" t="str">
        <f ca="1">IFERROR(__xludf.DUMMYFUNCTION("GOOGLETRANSLATE(B936, ""tr"", ""en"" )"),"Not to have anything in the palm of his hand, to finish the goods and money")</f>
        <v>Not to have anything in the palm of his hand, to finish the goods and money</v>
      </c>
    </row>
    <row r="937" spans="1:3" ht="14.25" customHeight="1" x14ac:dyDescent="0.3">
      <c r="A937" s="3" t="s">
        <v>1866</v>
      </c>
      <c r="B937" s="6" t="s">
        <v>1867</v>
      </c>
      <c r="C937" s="5" t="str">
        <f ca="1">IFERROR(__xludf.DUMMYFUNCTION("GOOGLETRANSLATE(B937, ""tr"", ""en"" )"),"To force someone to do something, to put pressure")</f>
        <v>To force someone to do something, to put pressure</v>
      </c>
    </row>
    <row r="938" spans="1:3" ht="14.25" customHeight="1" x14ac:dyDescent="0.3">
      <c r="A938" s="3" t="s">
        <v>1868</v>
      </c>
      <c r="B938" s="6" t="s">
        <v>1869</v>
      </c>
      <c r="C938" s="5" t="str">
        <f ca="1">IFERROR(__xludf.DUMMYFUNCTION("GOOGLETRANSLATE(B938, ""tr"", ""en"" )"),"Very sincere, very connected to each other")</f>
        <v>Very sincere, very connected to each other</v>
      </c>
    </row>
    <row r="939" spans="1:3" ht="14.25" customHeight="1" x14ac:dyDescent="0.3">
      <c r="A939" s="3" t="s">
        <v>1870</v>
      </c>
      <c r="B939" s="6" t="s">
        <v>1871</v>
      </c>
      <c r="C939" s="5" t="str">
        <f ca="1">IFERROR(__xludf.DUMMYFUNCTION("GOOGLETRANSLATE(B939, ""tr"", ""en"" )"),"Not being able to be resistant to tare -lowering jobs, not having the ability to do these things")</f>
        <v>Not being able to be resistant to tare -lowering jobs, not having the ability to do these things</v>
      </c>
    </row>
    <row r="940" spans="1:3" ht="14.25" customHeight="1" x14ac:dyDescent="0.3">
      <c r="A940" s="3" t="s">
        <v>1872</v>
      </c>
      <c r="B940" s="6" t="s">
        <v>1873</v>
      </c>
      <c r="C940" s="5" t="str">
        <f ca="1">IFERROR(__xludf.DUMMYFUNCTION("GOOGLETRANSLATE(B940, ""tr"", ""en"" )"),"Someone to disappear")</f>
        <v>Someone to disappear</v>
      </c>
    </row>
    <row r="941" spans="1:3" ht="14.25" customHeight="1" x14ac:dyDescent="0.3">
      <c r="A941" s="3" t="s">
        <v>1874</v>
      </c>
      <c r="B941" s="6" t="s">
        <v>1875</v>
      </c>
      <c r="C941" s="5" t="str">
        <f ca="1">IFERROR(__xludf.DUMMYFUNCTION("GOOGLETRANSLATE(B941, ""tr"", ""en"" )"),"It is strong, resistant to its thin structure")</f>
        <v>It is strong, resistant to its thin structure</v>
      </c>
    </row>
    <row r="942" spans="1:3" ht="14.25" customHeight="1" x14ac:dyDescent="0.3">
      <c r="A942" s="3" t="s">
        <v>1876</v>
      </c>
      <c r="B942" s="6" t="s">
        <v>1877</v>
      </c>
      <c r="C942" s="5" t="str">
        <f ca="1">IFERROR(__xludf.DUMMYFUNCTION("GOOGLETRANSLATE(B942, ""tr"", ""en"" )"),"Living from the parasites, providing someone from someone's pouch")</f>
        <v>Living from the parasites, providing someone from someone's pouch</v>
      </c>
    </row>
    <row r="943" spans="1:3" ht="14.25" customHeight="1" x14ac:dyDescent="0.3">
      <c r="A943" s="3" t="s">
        <v>1878</v>
      </c>
      <c r="B943" s="6" t="s">
        <v>1879</v>
      </c>
      <c r="C943" s="5" t="str">
        <f ca="1">IFERROR(__xludf.DUMMYFUNCTION("GOOGLETRANSLATE(B943, ""tr"", ""en"" )"),"Not being able to sell, sitting empty because there is no business and customers, being unable to do business")</f>
        <v>Not being able to sell, sitting empty because there is no business and customers, being unable to do business</v>
      </c>
    </row>
    <row r="944" spans="1:3" ht="14.25" customHeight="1" x14ac:dyDescent="0.3">
      <c r="A944" s="3" t="s">
        <v>1880</v>
      </c>
      <c r="B944" s="6" t="s">
        <v>1881</v>
      </c>
      <c r="C944" s="5" t="str">
        <f ca="1">IFERROR(__xludf.DUMMYFUNCTION("GOOGLETRANSLATE(B944, ""tr"", ""en"" )"),"Trying to come out of almost everything, even what will happen; hop a benefit")</f>
        <v>Trying to come out of almost everything, even what will happen; hop a benefit</v>
      </c>
    </row>
    <row r="945" spans="1:3" ht="14.25" customHeight="1" x14ac:dyDescent="0.3">
      <c r="A945" s="3" t="s">
        <v>1882</v>
      </c>
      <c r="B945" s="6" t="s">
        <v>1883</v>
      </c>
      <c r="C945" s="5" t="str">
        <f ca="1">IFERROR(__xludf.DUMMYFUNCTION("GOOGLETRANSLATE(B945, ""tr"", ""en"" )"),"A damage, an unpleasant situation, a bad word or behavior inevitably endure")</f>
        <v>A damage, an unpleasant situation, a bad word or behavior inevitably endure</v>
      </c>
    </row>
    <row r="946" spans="1:3" ht="14.25" customHeight="1" x14ac:dyDescent="0.3">
      <c r="A946" s="3" t="s">
        <v>1884</v>
      </c>
      <c r="B946" s="6" t="s">
        <v>1885</v>
      </c>
      <c r="C946" s="5" t="str">
        <f ca="1">IFERROR(__xludf.DUMMYFUNCTION("GOOGLETRANSLATE(B946, ""tr"", ""en"" )"),"To be more angry; Surprise what to do, not to know")</f>
        <v>To be more angry; Surprise what to do, not to know</v>
      </c>
    </row>
    <row r="947" spans="1:3" ht="14.25" customHeight="1" x14ac:dyDescent="0.3">
      <c r="A947" s="3" t="s">
        <v>1886</v>
      </c>
      <c r="B947" s="6" t="s">
        <v>1887</v>
      </c>
      <c r="C947" s="5" t="str">
        <f ca="1">IFERROR(__xludf.DUMMYFUNCTION("GOOGLETRANSLATE(B947, ""tr"", ""en"" )"),"Passing anger or anger, calm down")</f>
        <v>Passing anger or anger, calm down</v>
      </c>
    </row>
    <row r="948" spans="1:3" ht="14.25" customHeight="1" x14ac:dyDescent="0.3">
      <c r="A948" s="3" t="s">
        <v>1888</v>
      </c>
      <c r="B948" s="6" t="s">
        <v>1889</v>
      </c>
      <c r="C948" s="5" t="str">
        <f ca="1">IFERROR(__xludf.DUMMYFUNCTION("GOOGLETRANSLATE(B948, ""tr"", ""en"" )"),"Being upset enough to react as soon as the slightest incident arises")</f>
        <v>Being upset enough to react as soon as the slightest incident arises</v>
      </c>
    </row>
    <row r="949" spans="1:3" ht="14.25" customHeight="1" x14ac:dyDescent="0.3">
      <c r="A949" s="3" t="s">
        <v>1890</v>
      </c>
      <c r="B949" s="6" t="s">
        <v>1891</v>
      </c>
      <c r="C949" s="5" t="str">
        <f ca="1">IFERROR(__xludf.DUMMYFUNCTION("GOOGLETRANSLATE(B949, ""tr"", ""en"" )"),"Staying alone, helpless")</f>
        <v>Staying alone, helpless</v>
      </c>
    </row>
    <row r="950" spans="1:3" ht="14.25" customHeight="1" x14ac:dyDescent="0.3">
      <c r="A950" s="3" t="s">
        <v>1892</v>
      </c>
      <c r="B950" s="6" t="s">
        <v>1893</v>
      </c>
      <c r="C950" s="5" t="str">
        <f ca="1">IFERROR(__xludf.DUMMYFUNCTION("GOOGLETRANSLATE(B950, ""tr"", ""en"" )"),"Who does not like anyone's mind, whose thoughts are not like anyone's, have strange ideas")</f>
        <v>Who does not like anyone's mind, whose thoughts are not like anyone's, have strange ideas</v>
      </c>
    </row>
    <row r="951" spans="1:3" ht="14.25" customHeight="1" x14ac:dyDescent="0.3">
      <c r="A951" s="3" t="s">
        <v>1894</v>
      </c>
      <c r="B951" s="6" t="s">
        <v>1895</v>
      </c>
      <c r="C951" s="5" t="str">
        <f ca="1">IFERROR(__xludf.DUMMYFUNCTION("GOOGLETRANSLATE(B951, ""tr"", ""en"" )"),"Get sick")</f>
        <v>Get sick</v>
      </c>
    </row>
    <row r="952" spans="1:3" ht="14.25" customHeight="1" x14ac:dyDescent="0.3">
      <c r="A952" s="3" t="s">
        <v>1896</v>
      </c>
      <c r="B952" s="6" t="s">
        <v>1897</v>
      </c>
      <c r="C952" s="5" t="str">
        <f ca="1">IFERROR(__xludf.DUMMYFUNCTION("GOOGLETRANSLATE(B952, ""tr"", ""en"" )"),"Easily angry, excitement, does not worry")</f>
        <v>Easily angry, excitement, does not worry</v>
      </c>
    </row>
    <row r="953" spans="1:3" ht="14.25" customHeight="1" x14ac:dyDescent="0.3">
      <c r="A953" s="3" t="s">
        <v>1898</v>
      </c>
      <c r="B953" s="6" t="s">
        <v>1899</v>
      </c>
      <c r="C953" s="5" t="str">
        <f ca="1">IFERROR(__xludf.DUMMYFUNCTION("GOOGLETRANSLATE(B953, ""tr"", ""en"" )"),"The person who is cheesy, whose words and behaviors are not warm, stay away from people")</f>
        <v>The person who is cheesy, whose words and behaviors are not warm, stay away from people</v>
      </c>
    </row>
    <row r="954" spans="1:3" ht="14.25" customHeight="1" x14ac:dyDescent="0.3">
      <c r="A954" s="3" t="s">
        <v>1900</v>
      </c>
      <c r="B954" s="6" t="s">
        <v>1901</v>
      </c>
      <c r="C954" s="5" t="str">
        <f ca="1">IFERROR(__xludf.DUMMYFUNCTION("GOOGLETRANSLATE(B954, ""tr"", ""en"" )"),"It has no value and importance")</f>
        <v>It has no value and importance</v>
      </c>
    </row>
    <row r="955" spans="1:3" ht="14.25" customHeight="1" x14ac:dyDescent="0.3">
      <c r="A955" s="3" t="s">
        <v>1902</v>
      </c>
      <c r="B955" s="6" t="s">
        <v>1903</v>
      </c>
      <c r="C955" s="5" t="str">
        <f ca="1">IFERROR(__xludf.DUMMYFUNCTION("GOOGLETRANSLATE(B955, ""tr"", ""en"" )"),"Working very hard, not allowing to rest")</f>
        <v>Working very hard, not allowing to rest</v>
      </c>
    </row>
    <row r="956" spans="1:3" ht="14.25" customHeight="1" x14ac:dyDescent="0.3">
      <c r="A956" s="3" t="s">
        <v>1904</v>
      </c>
      <c r="B956" s="6" t="s">
        <v>1905</v>
      </c>
      <c r="C956" s="5" t="str">
        <f ca="1">IFERROR(__xludf.DUMMYFUNCTION("GOOGLETRANSLATE(B956, ""tr"", ""en"" )"),"Using the last opportunity in your hand, applying for the last resort")</f>
        <v>Using the last opportunity in your hand, applying for the last resort</v>
      </c>
    </row>
    <row r="957" spans="1:3" ht="14.25" customHeight="1" x14ac:dyDescent="0.3">
      <c r="A957" s="3" t="s">
        <v>1906</v>
      </c>
      <c r="B957" s="6" t="s">
        <v>1907</v>
      </c>
      <c r="C957" s="5" t="str">
        <f ca="1">IFERROR(__xludf.DUMMYFUNCTION("GOOGLETRANSLATE(B957, ""tr"", ""en"" )"),"Later, enriched and behaved such as showing off, politeness and boasting")</f>
        <v>Later, enriched and behaved such as showing off, politeness and boasting</v>
      </c>
    </row>
    <row r="958" spans="1:3" ht="14.25" customHeight="1" x14ac:dyDescent="0.3">
      <c r="A958" s="3" t="s">
        <v>1908</v>
      </c>
      <c r="B958" s="6" t="s">
        <v>1909</v>
      </c>
      <c r="C958" s="5" t="str">
        <f ca="1">IFERROR(__xludf.DUMMYFUNCTION("GOOGLETRANSLATE(B958, ""tr"", ""en"" )"),"To take everything, your existence")</f>
        <v>To take everything, your existence</v>
      </c>
    </row>
    <row r="959" spans="1:3" ht="14.25" customHeight="1" x14ac:dyDescent="0.3">
      <c r="A959" s="3" t="s">
        <v>1910</v>
      </c>
      <c r="B959" s="6" t="s">
        <v>1911</v>
      </c>
      <c r="C959" s="5" t="str">
        <f ca="1">IFERROR(__xludf.DUMMYFUNCTION("GOOGLETRANSLATE(B959, ""tr"", ""en"" )"),"To answer a person's word that hurts himself in a similar way")</f>
        <v>To answer a person's word that hurts himself in a similar way</v>
      </c>
    </row>
    <row r="960" spans="1:3" ht="14.25" customHeight="1" x14ac:dyDescent="0.3">
      <c r="A960" s="3" t="s">
        <v>1912</v>
      </c>
      <c r="B960" s="6" t="s">
        <v>1913</v>
      </c>
      <c r="C960" s="5" t="str">
        <f ca="1">IFERROR(__xludf.DUMMYFUNCTION("GOOGLETRANSLATE(B960, ""tr"", ""en"" )"),"To agree to say the same things about an event, to have the same opinion")</f>
        <v>To agree to say the same things about an event, to have the same opinion</v>
      </c>
    </row>
    <row r="961" spans="1:3" ht="14.25" customHeight="1" x14ac:dyDescent="0.3">
      <c r="A961" s="3" t="s">
        <v>1914</v>
      </c>
      <c r="B961" s="6" t="s">
        <v>1915</v>
      </c>
      <c r="C961" s="5" t="str">
        <f ca="1">IFERROR(__xludf.DUMMYFUNCTION("GOOGLETRANSLATE(B961, ""tr"", ""en"" )"),"Not to do a job decided to do")</f>
        <v>Not to do a job decided to do</v>
      </c>
    </row>
    <row r="962" spans="1:3" ht="14.25" customHeight="1" x14ac:dyDescent="0.3">
      <c r="A962" s="3" t="s">
        <v>1916</v>
      </c>
      <c r="B962" s="6" t="s">
        <v>1917</v>
      </c>
      <c r="C962" s="5" t="str">
        <f ca="1">IFERROR(__xludf.DUMMYFUNCTION("GOOGLETRANSLATE(B962, ""tr"", ""en"" )"),"Do what he says")</f>
        <v>Do what he says</v>
      </c>
    </row>
    <row r="963" spans="1:3" ht="14.25" customHeight="1" x14ac:dyDescent="0.3">
      <c r="A963" s="3" t="s">
        <v>1918</v>
      </c>
      <c r="B963" s="6" t="s">
        <v>1919</v>
      </c>
      <c r="C963" s="5" t="str">
        <f ca="1">IFERROR(__xludf.DUMMYFUNCTION("GOOGLETRANSLATE(B963, ""tr"", ""en"" )"),"Reality, accuracy and clear")</f>
        <v>Reality, accuracy and clear</v>
      </c>
    </row>
    <row r="964" spans="1:3" ht="14.25" customHeight="1" x14ac:dyDescent="0.3">
      <c r="A964" s="3" t="s">
        <v>1920</v>
      </c>
      <c r="B964" s="6" t="s">
        <v>1921</v>
      </c>
      <c r="C964" s="5" t="str">
        <f ca="1">IFERROR(__xludf.DUMMYFUNCTION("GOOGLETRANSLATE(B964, ""tr"", ""en"" )"),"To be shared, to be scolded, one to be crushed")</f>
        <v>To be shared, to be scolded, one to be crushed</v>
      </c>
    </row>
    <row r="965" spans="1:3" ht="14.25" customHeight="1" x14ac:dyDescent="0.3">
      <c r="A965" s="3" t="s">
        <v>1922</v>
      </c>
      <c r="B965" s="6" t="s">
        <v>1923</v>
      </c>
      <c r="C965" s="5" t="str">
        <f ca="1">IFERROR(__xludf.DUMMYFUNCTION("GOOGLETRANSLATE(B965, ""tr"", ""en"" )"),"Being unable to withstand the word that hurts him and touches his dignity")</f>
        <v>Being unable to withstand the word that hurts him and touches his dignity</v>
      </c>
    </row>
    <row r="966" spans="1:3" ht="14.25" customHeight="1" x14ac:dyDescent="0.3">
      <c r="A966" s="3" t="s">
        <v>1924</v>
      </c>
      <c r="B966" s="6" t="s">
        <v>1925</v>
      </c>
      <c r="C966" s="5" t="str">
        <f ca="1">IFERROR(__xludf.DUMMYFUNCTION("GOOGLETRANSLATE(B966, ""tr"", ""en"" )"),"To be authorized to talk about any subject")</f>
        <v>To be authorized to talk about any subject</v>
      </c>
    </row>
    <row r="967" spans="1:3" ht="14.25" customHeight="1" x14ac:dyDescent="0.3">
      <c r="A967" s="3" t="s">
        <v>1926</v>
      </c>
      <c r="B967" s="6" t="s">
        <v>1927</v>
      </c>
      <c r="C967" s="5" t="str">
        <f ca="1">IFERROR(__xludf.DUMMYFUNCTION("GOOGLETRANSLATE(B967, ""tr"", ""en"" )"),"Not allowing him to finish what he's saying, to prevent")</f>
        <v>Not allowing him to finish what he's saying, to prevent</v>
      </c>
    </row>
    <row r="968" spans="1:3" ht="14.25" customHeight="1" x14ac:dyDescent="0.3">
      <c r="A968" s="3" t="s">
        <v>1928</v>
      </c>
      <c r="B968" s="6" t="s">
        <v>1929</v>
      </c>
      <c r="C968" s="5" t="str">
        <f ca="1">IFERROR(__xludf.DUMMYFUNCTION("GOOGLETRANSLATE(B968, ""tr"", ""en"" )"),"To conclude what they are talking about, to conclude the conversation")</f>
        <v>To conclude what they are talking about, to conclude the conversation</v>
      </c>
    </row>
    <row r="969" spans="1:3" ht="14.25" customHeight="1" x14ac:dyDescent="0.3">
      <c r="A969" s="3" t="s">
        <v>1930</v>
      </c>
      <c r="B969" s="6" t="s">
        <v>1931</v>
      </c>
      <c r="C969" s="5" t="str">
        <f ca="1">IFERROR(__xludf.DUMMYFUNCTION("GOOGLETRANSLATE(B969, ""tr"", ""en"" )"),"To accept the idea of ​​anyone he oppose in the end")</f>
        <v>To accept the idea of ​​anyone he oppose in the end</v>
      </c>
    </row>
    <row r="970" spans="1:3" ht="14.25" customHeight="1" x14ac:dyDescent="0.3">
      <c r="A970" s="3" t="s">
        <v>1932</v>
      </c>
      <c r="B970" s="6" t="s">
        <v>1933</v>
      </c>
      <c r="C970" s="5" t="str">
        <f ca="1">IFERROR(__xludf.DUMMYFUNCTION("GOOGLETRANSLATE(B970, ""tr"", ""en"" )"),"Whatever he thinks, not to be afraid of anyone, not worrying that I will break the other person")</f>
        <v>Whatever he thinks, not to be afraid of anyone, not worrying that I will break the other person</v>
      </c>
    </row>
    <row r="971" spans="1:3" ht="14.25" customHeight="1" x14ac:dyDescent="0.3">
      <c r="A971" s="3" t="s">
        <v>1934</v>
      </c>
      <c r="B971" s="6" t="s">
        <v>1935</v>
      </c>
      <c r="C971" s="5" t="str">
        <f ca="1">IFERROR(__xludf.DUMMYFUNCTION("GOOGLETRANSLATE(B971, ""tr"", ""en"" )"),"To be a person who fulfills his promise at all costs")</f>
        <v>To be a person who fulfills his promise at all costs</v>
      </c>
    </row>
    <row r="972" spans="1:3" ht="14.25" customHeight="1" x14ac:dyDescent="0.3">
      <c r="A972" s="3" t="s">
        <v>1936</v>
      </c>
      <c r="B972" s="6" t="s">
        <v>1937</v>
      </c>
      <c r="C972" s="5" t="str">
        <f ca="1">IFERROR(__xludf.DUMMYFUNCTION("GOOGLETRANSLATE(B972, ""tr"", ""en"" )"),"To give importance to what a person says")</f>
        <v>To give importance to what a person says</v>
      </c>
    </row>
    <row r="973" spans="1:3" ht="14.25" customHeight="1" x14ac:dyDescent="0.3">
      <c r="A973" s="3" t="s">
        <v>1938</v>
      </c>
      <c r="B973" s="6" t="s">
        <v>1939</v>
      </c>
      <c r="C973" s="5" t="str">
        <f ca="1">IFERROR(__xludf.DUMMYFUNCTION("GOOGLETRANSLATE(B973, ""tr"", ""en"" )"),"It's very cheap, it's like free")</f>
        <v>It's very cheap, it's like free</v>
      </c>
    </row>
    <row r="974" spans="1:3" ht="14.25" customHeight="1" x14ac:dyDescent="0.3">
      <c r="A974" s="3" t="s">
        <v>1940</v>
      </c>
      <c r="B974" s="6" t="s">
        <v>1941</v>
      </c>
      <c r="C974" s="5" t="str">
        <f ca="1">IFERROR(__xludf.DUMMYFUNCTION("GOOGLETRANSLATE(B974, ""tr"", ""en"" )"),"That time passes too fast")</f>
        <v>That time passes too fast</v>
      </c>
    </row>
    <row r="975" spans="1:3" ht="14.25" customHeight="1" x14ac:dyDescent="0.3">
      <c r="A975" s="3" t="s">
        <v>1942</v>
      </c>
      <c r="B975" s="6" t="s">
        <v>1943</v>
      </c>
      <c r="C975" s="5" t="str">
        <f ca="1">IFERROR(__xludf.DUMMYFUNCTION("GOOGLETRANSLATE(B975, ""tr"", ""en"" )"),"Very good, wrong to know or read")</f>
        <v>Very good, wrong to know or read</v>
      </c>
    </row>
    <row r="976" spans="1:3" ht="14.25" customHeight="1" x14ac:dyDescent="0.3">
      <c r="A976" s="3" t="s">
        <v>1944</v>
      </c>
      <c r="B976" s="6" t="s">
        <v>1945</v>
      </c>
      <c r="C976" s="5" t="str">
        <f ca="1">IFERROR(__xludf.DUMMYFUNCTION("GOOGLETRANSLATE(B976, ""tr"", ""en"" )"),"Memorizing to the extent that very good, unsuccessful and without hanging out")</f>
        <v>Memorizing to the extent that very good, unsuccessful and without hanging out</v>
      </c>
    </row>
    <row r="977" spans="1:3" ht="14.25" customHeight="1" x14ac:dyDescent="0.3">
      <c r="A977" s="3" t="s">
        <v>1946</v>
      </c>
      <c r="B977" s="6" t="s">
        <v>1947</v>
      </c>
      <c r="C977" s="5" t="str">
        <f ca="1">IFERROR(__xludf.DUMMYFUNCTION("GOOGLETRANSLATE(B977, ""tr"", ""en"" )"),"For sure, not open to another interpretation")</f>
        <v>For sure, not open to another interpretation</v>
      </c>
    </row>
    <row r="978" spans="1:3" ht="14.25" customHeight="1" x14ac:dyDescent="0.3">
      <c r="A978" s="3" t="s">
        <v>1948</v>
      </c>
      <c r="B978" s="6" t="s">
        <v>1949</v>
      </c>
      <c r="C978" s="5" t="str">
        <f ca="1">IFERROR(__xludf.DUMMYFUNCTION("GOOGLETRANSLATE(B978, ""tr"", ""en"" )"),"To be squeezed, to make flood movements, not to be serious")</f>
        <v>To be squeezed, to make flood movements, not to be serious</v>
      </c>
    </row>
    <row r="979" spans="1:3" ht="14.25" customHeight="1" x14ac:dyDescent="0.3">
      <c r="A979" s="3" t="s">
        <v>1950</v>
      </c>
      <c r="B979" s="6" t="s">
        <v>1951</v>
      </c>
      <c r="C979" s="5" t="str">
        <f ca="1">IFERROR(__xludf.DUMMYFUNCTION("GOOGLETRANSLATE(B979, ""tr"", ""en"" )"),"sad and sullen")</f>
        <v>sad and sullen</v>
      </c>
    </row>
    <row r="980" spans="1:3" ht="14.25" customHeight="1" x14ac:dyDescent="0.3">
      <c r="A980" s="3" t="s">
        <v>1952</v>
      </c>
      <c r="B980" s="6" t="s">
        <v>1953</v>
      </c>
      <c r="C980" s="5" t="str">
        <f ca="1">IFERROR(__xludf.DUMMYFUNCTION("GOOGLETRANSLATE(B980, ""tr"", ""en"" )"),"To show your discontent with the expression")</f>
        <v>To show your discontent with the expression</v>
      </c>
    </row>
    <row r="981" spans="1:3" ht="14.25" customHeight="1" x14ac:dyDescent="0.3">
      <c r="A981" s="3" t="s">
        <v>1954</v>
      </c>
      <c r="B981" s="6" t="s">
        <v>1955</v>
      </c>
      <c r="C981" s="5" t="str">
        <f ca="1">IFERROR(__xludf.DUMMYFUNCTION("GOOGLETRANSLATE(B981, ""tr"", ""en"" )"),"Being more cunning than someone, being smart and talented enough to cheat it")</f>
        <v>Being more cunning than someone, being smart and talented enough to cheat it</v>
      </c>
    </row>
    <row r="982" spans="1:3" ht="14.25" customHeight="1" x14ac:dyDescent="0.3">
      <c r="A982" s="3" t="s">
        <v>1956</v>
      </c>
      <c r="B982" s="6" t="s">
        <v>1957</v>
      </c>
      <c r="C982" s="5" t="str">
        <f ca="1">IFERROR(__xludf.DUMMYFUNCTION("GOOGLETRANSLATE(B982, ""tr"", ""en"" )"),"Stay away from objectionable issues, to keep a way that will not hurt someone with their behavior")</f>
        <v>Stay away from objectionable issues, to keep a way that will not hurt someone with their behavior</v>
      </c>
    </row>
    <row r="983" spans="1:3" ht="14.25" customHeight="1" x14ac:dyDescent="0.3">
      <c r="A983" s="3" t="s">
        <v>1958</v>
      </c>
      <c r="B983" s="6" t="s">
        <v>1959</v>
      </c>
      <c r="C983" s="5" t="str">
        <f ca="1">IFERROR(__xludf.DUMMYFUNCTION("GOOGLETRANSLATE(B983, ""tr"", ""en"" )"),"Mixing a good, positive, on the way with a job")</f>
        <v>Mixing a good, positive, on the way with a job</v>
      </c>
    </row>
    <row r="984" spans="1:3" ht="14.25" customHeight="1" x14ac:dyDescent="0.3">
      <c r="A984" s="3" t="s">
        <v>1960</v>
      </c>
      <c r="B984" s="6" t="s">
        <v>1961</v>
      </c>
      <c r="C984" s="5" t="str">
        <f ca="1">IFERROR(__xludf.DUMMYFUNCTION("GOOGLETRANSLATE(B984, ""tr"", ""en"" )"),"Being close time to remove it from work")</f>
        <v>Being close time to remove it from work</v>
      </c>
    </row>
    <row r="985" spans="1:3" ht="14.25" customHeight="1" x14ac:dyDescent="0.3">
      <c r="A985" s="3" t="s">
        <v>1962</v>
      </c>
      <c r="B985" s="6" t="s">
        <v>1963</v>
      </c>
      <c r="C985" s="5" t="str">
        <f ca="1">IFERROR(__xludf.DUMMYFUNCTION("GOOGLETRANSLATE(B985, ""tr"", ""en"" )"),"Acting in a way that does not angry a person and adapting to his will and tendencies")</f>
        <v>Acting in a way that does not angry a person and adapting to his will and tendencies</v>
      </c>
    </row>
    <row r="986" spans="1:3" ht="14.25" customHeight="1" x14ac:dyDescent="0.3">
      <c r="A986" s="3" t="s">
        <v>1964</v>
      </c>
      <c r="B986" s="6" t="s">
        <v>1965</v>
      </c>
      <c r="C986" s="5" t="str">
        <f ca="1">IFERROR(__xludf.DUMMYFUNCTION("GOOGLETRANSLATE(B986, ""tr"", ""en"" )"),"Specifying something, especially money and running out")</f>
        <v>Specifying something, especially money and running out</v>
      </c>
    </row>
    <row r="987" spans="1:3" ht="14.25" customHeight="1" x14ac:dyDescent="0.3">
      <c r="A987" s="3" t="s">
        <v>1966</v>
      </c>
      <c r="B987" s="6" t="s">
        <v>1967</v>
      </c>
      <c r="C987" s="5" t="str">
        <f ca="1">IFERROR(__xludf.DUMMYFUNCTION("GOOGLETRANSLATE(B987, ""tr"", ""en"" )"),"What has a very distance -related")</f>
        <v>What has a very distance -related</v>
      </c>
    </row>
    <row r="988" spans="1:3" ht="14.25" customHeight="1" x14ac:dyDescent="0.3">
      <c r="A988" s="3" t="s">
        <v>1968</v>
      </c>
      <c r="B988" s="6" t="s">
        <v>1969</v>
      </c>
      <c r="C988" s="5" t="str">
        <f ca="1">IFERROR(__xludf.DUMMYFUNCTION("GOOGLETRANSLATE(B988, ""tr"", ""en"" )"),"Never washed, very dirty")</f>
        <v>Never washed, very dirty</v>
      </c>
    </row>
    <row r="989" spans="1:3" ht="14.25" customHeight="1" x14ac:dyDescent="0.3">
      <c r="A989" s="3" t="s">
        <v>1970</v>
      </c>
      <c r="B989" s="6" t="s">
        <v>1971</v>
      </c>
      <c r="C989" s="5" t="str">
        <f ca="1">IFERROR(__xludf.DUMMYFUNCTION("GOOGLETRANSLATE(B989, ""tr"", ""en"" )"),"Being clear, getting enlightened")</f>
        <v>Being clear, getting enlightened</v>
      </c>
    </row>
    <row r="990" spans="1:3" ht="14.25" customHeight="1" x14ac:dyDescent="0.3">
      <c r="A990" s="3" t="s">
        <v>1972</v>
      </c>
      <c r="B990" s="6" t="s">
        <v>1973</v>
      </c>
      <c r="C990" s="5" t="str">
        <f ca="1">IFERROR(__xludf.DUMMYFUNCTION("GOOGLETRANSLATE(B990, ""tr"", ""en"" )"),"Fear and shy, crushing and shrinking, embarrassed and bored")</f>
        <v>Fear and shy, crushing and shrinking, embarrassed and bored</v>
      </c>
    </row>
    <row r="991" spans="1:3" ht="14.25" customHeight="1" x14ac:dyDescent="0.3">
      <c r="A991" s="3" t="s">
        <v>1974</v>
      </c>
      <c r="B991" s="6" t="s">
        <v>1975</v>
      </c>
      <c r="C991" s="5" t="str">
        <f ca="1">IFERROR(__xludf.DUMMYFUNCTION("GOOGLETRANSLATE(B991, ""tr"", ""en"" )"),"Forget, delete, count nothing happened")</f>
        <v>Forget, delete, count nothing happened</v>
      </c>
    </row>
    <row r="992" spans="1:3" ht="14.25" customHeight="1" x14ac:dyDescent="0.3">
      <c r="A992" s="3" t="s">
        <v>1976</v>
      </c>
      <c r="B992" s="6" t="s">
        <v>1977</v>
      </c>
      <c r="C992" s="5" t="str">
        <f ca="1">IFERROR(__xludf.DUMMYFUNCTION("GOOGLETRANSLATE(B992, ""tr"", ""en"" )"),"To leave the way everyone holds and follow a separate path")</f>
        <v>To leave the way everyone holds and follow a separate path</v>
      </c>
    </row>
    <row r="993" spans="1:3" ht="14.25" customHeight="1" x14ac:dyDescent="0.3">
      <c r="A993" s="3" t="s">
        <v>1978</v>
      </c>
      <c r="B993" s="6" t="s">
        <v>1979</v>
      </c>
      <c r="C993" s="5" t="str">
        <f ca="1">IFERROR(__xludf.DUMMYFUNCTION("GOOGLETRANSLATE(B993, ""tr"", ""en"" )"),"The situation of anyone who is embarrassed, afraid and afraid for this misdemeanor")</f>
        <v>The situation of anyone who is embarrassed, afraid and afraid for this misdemeanor</v>
      </c>
    </row>
    <row r="994" spans="1:3" ht="14.25" customHeight="1" x14ac:dyDescent="0.3">
      <c r="A994" s="3" t="s">
        <v>1980</v>
      </c>
      <c r="B994" s="6" t="s">
        <v>1981</v>
      </c>
      <c r="C994" s="5" t="str">
        <f ca="1">IFERROR(__xludf.DUMMYFUNCTION("GOOGLETRANSLATE(B994, ""tr"", ""en"" )"),"Very little baby, puppy, little boy to be protected")</f>
        <v>Very little baby, puppy, little boy to be protected</v>
      </c>
    </row>
    <row r="995" spans="1:3" ht="14.25" customHeight="1" x14ac:dyDescent="0.3">
      <c r="A995" s="3" t="s">
        <v>1982</v>
      </c>
      <c r="B995" s="6" t="s">
        <v>1983</v>
      </c>
      <c r="C995" s="5" t="str">
        <f ca="1">IFERROR(__xludf.DUMMYFUNCTION("GOOGLETRANSLATE(B995, ""tr"", ""en"" )"),"To be calm, noise, calm")</f>
        <v>To be calm, noise, calm</v>
      </c>
    </row>
    <row r="996" spans="1:3" ht="14.25" customHeight="1" x14ac:dyDescent="0.3">
      <c r="A996" s="3" t="s">
        <v>1984</v>
      </c>
      <c r="B996" s="6" t="s">
        <v>1985</v>
      </c>
      <c r="C996" s="5" t="str">
        <f ca="1">IFERROR(__xludf.DUMMYFUNCTION("GOOGLETRANSLATE(B996, ""tr"", ""en"" )"),"To be happy, to be happy")</f>
        <v>To be happy, to be happy</v>
      </c>
    </row>
    <row r="997" spans="1:3" ht="14.25" customHeight="1" x14ac:dyDescent="0.3">
      <c r="A997" s="3" t="s">
        <v>1986</v>
      </c>
      <c r="B997" s="6" t="s">
        <v>1987</v>
      </c>
      <c r="C997" s="5" t="str">
        <f ca="1">IFERROR(__xludf.DUMMYFUNCTION("GOOGLETRANSLATE(B997, ""tr"", ""en"" )"),"A job or situation is careless, not to be careful")</f>
        <v>A job or situation is careless, not to be careful</v>
      </c>
    </row>
    <row r="998" spans="1:3" ht="14.25" customHeight="1" x14ac:dyDescent="0.3">
      <c r="A998" s="3" t="s">
        <v>1988</v>
      </c>
      <c r="B998" s="6" t="s">
        <v>1989</v>
      </c>
      <c r="C998" s="5" t="str">
        <f ca="1">IFERROR(__xludf.DUMMYFUNCTION("GOOGLETRANSLATE(B998, ""tr"", ""en"" )"),"Dangerous")</f>
        <v>Dangerous</v>
      </c>
    </row>
    <row r="999" spans="1:3" ht="14.25" customHeight="1" x14ac:dyDescent="0.3">
      <c r="A999" s="3" t="s">
        <v>1990</v>
      </c>
      <c r="B999" s="6" t="s">
        <v>1991</v>
      </c>
      <c r="C999" s="5" t="str">
        <f ca="1">IFERROR(__xludf.DUMMYFUNCTION("GOOGLETRANSLATE(B999, ""tr"", ""en"" )"),"Everyone's vengeance, beats, cracks, is said")</f>
        <v>Everyone's vengeance, beats, cracks, is said</v>
      </c>
    </row>
    <row r="1000" spans="1:3" ht="14.25" customHeight="1" x14ac:dyDescent="0.3">
      <c r="A1000" s="3" t="s">
        <v>1992</v>
      </c>
      <c r="B1000" s="6" t="s">
        <v>1993</v>
      </c>
      <c r="C1000" s="5" t="str">
        <f ca="1">IFERROR(__xludf.DUMMYFUNCTION("GOOGLETRANSLATE(B1000, ""tr"", ""en"" )"),"Noise, making a fuss")</f>
        <v>Noise, making a fuss</v>
      </c>
    </row>
    <row r="1001" spans="1:3" ht="14.25" customHeight="1" x14ac:dyDescent="0.3">
      <c r="A1001" s="3" t="s">
        <v>1994</v>
      </c>
      <c r="B1001" s="6" t="s">
        <v>1995</v>
      </c>
      <c r="C1001" s="5" t="str">
        <f ca="1">IFERROR(__xludf.DUMMYFUNCTION("GOOGLETRANSLATE(B1001, ""tr"", ""en"" )"),"Falling into a difficult situation, getting into a dead end")</f>
        <v>Falling into a difficult situation, getting into a dead end</v>
      </c>
    </row>
    <row r="1002" spans="1:3" ht="14.25" customHeight="1" x14ac:dyDescent="0.3">
      <c r="A1002" s="3" t="s">
        <v>1996</v>
      </c>
      <c r="B1002" s="6" t="s">
        <v>1997</v>
      </c>
      <c r="C1002" s="5" t="str">
        <f ca="1">IFERROR(__xludf.DUMMYFUNCTION("GOOGLETRANSLATE(B1002, ""tr"", ""en"" )"),"To see wrong, to be deceived in your opinion")</f>
        <v>To see wrong, to be deceived in your opinion</v>
      </c>
    </row>
    <row r="1003" spans="1:3" ht="14.25" customHeight="1" x14ac:dyDescent="0.3">
      <c r="A1003" s="3" t="s">
        <v>1998</v>
      </c>
      <c r="B1003" s="6" t="s">
        <v>1999</v>
      </c>
      <c r="C1003" s="5" t="str">
        <f ca="1">IFERROR(__xludf.DUMMYFUNCTION("GOOGLETRANSLATE(B1003, ""tr"", ""en"" )"),"He says he's doing great things, but there's no evidence to confirm this, nor no one around.")</f>
        <v>He says he's doing great things, but there's no evidence to confirm this, nor no one around.</v>
      </c>
    </row>
    <row r="1004" spans="1:3" ht="14.25" customHeight="1" x14ac:dyDescent="0.3">
      <c r="A1004" s="3" t="s">
        <v>2000</v>
      </c>
      <c r="B1004" s="6" t="s">
        <v>2001</v>
      </c>
      <c r="C1004" s="5" t="str">
        <f ca="1">IFERROR(__xludf.DUMMYFUNCTION("GOOGLETRANSLATE(B1004, ""tr"", ""en"" )"),"take the right way")</f>
        <v>take the right way</v>
      </c>
    </row>
    <row r="1005" spans="1:3" ht="14.25" customHeight="1" x14ac:dyDescent="0.3">
      <c r="A1005" s="3" t="s">
        <v>2002</v>
      </c>
      <c r="B1005" s="6" t="s">
        <v>2003</v>
      </c>
      <c r="C1005" s="5" t="str">
        <f ca="1">IFERROR(__xludf.DUMMYFUNCTION("GOOGLETRANSLATE(B1005, ""tr"", ""en"" )"),"To be inappropriate, bad behavior")</f>
        <v>To be inappropriate, bad behavior</v>
      </c>
    </row>
    <row r="1006" spans="1:3" ht="14.25" customHeight="1" x14ac:dyDescent="0.3">
      <c r="A1006" s="3" t="s">
        <v>2004</v>
      </c>
      <c r="B1006" s="6" t="s">
        <v>2005</v>
      </c>
      <c r="C1006" s="5" t="str">
        <f ca="1">IFERROR(__xludf.DUMMYFUNCTION("GOOGLETRANSLATE(B1006, ""tr"", ""en"" )"),"To meet him at all, not want to be together")</f>
        <v>To meet him at all, not want to be together</v>
      </c>
    </row>
    <row r="1007" spans="1:3" ht="14.25" customHeight="1" x14ac:dyDescent="0.3">
      <c r="A1007" s="3" t="s">
        <v>2006</v>
      </c>
      <c r="B1007" s="6" t="s">
        <v>2007</v>
      </c>
      <c r="C1007" s="5" t="str">
        <f ca="1">IFERROR(__xludf.DUMMYFUNCTION("GOOGLETRANSLATE(B1007, ""tr"", ""en"" )"),"Very mischievous and naughty (child)")</f>
        <v>Very mischievous and naughty (child)</v>
      </c>
    </row>
    <row r="1008" spans="1:3" ht="14.25" customHeight="1" x14ac:dyDescent="0.3">
      <c r="A1008" s="3" t="s">
        <v>2008</v>
      </c>
      <c r="B1008" s="6" t="s">
        <v>2009</v>
      </c>
      <c r="C1008" s="5" t="str">
        <f ca="1">IFERROR(__xludf.DUMMYFUNCTION("GOOGLETRANSLATE(B1008, ""tr"", ""en"" )"),"Defeat the optional, ominous")</f>
        <v>Defeat the optional, ominous</v>
      </c>
    </row>
    <row r="1009" spans="1:3" ht="14.25" customHeight="1" x14ac:dyDescent="0.3">
      <c r="A1009" s="3" t="s">
        <v>2010</v>
      </c>
      <c r="B1009" s="6" t="s">
        <v>2011</v>
      </c>
      <c r="C1009" s="5" t="str">
        <f ca="1">IFERROR(__xludf.DUMMYFUNCTION("GOOGLETRANSLATE(B1009, ""tr"", ""en"" )"),"To be very cunning and open; Knowing things that are difficult to know and remember; To be aware of many things")</f>
        <v>To be very cunning and open; Knowing things that are difficult to know and remember; To be aware of many things</v>
      </c>
    </row>
    <row r="1010" spans="1:3" ht="14.25" customHeight="1" x14ac:dyDescent="0.3">
      <c r="A1010" s="3" t="s">
        <v>2012</v>
      </c>
      <c r="B1010" s="6" t="s">
        <v>2013</v>
      </c>
      <c r="C1010" s="5" t="str">
        <f ca="1">IFERROR(__xludf.DUMMYFUNCTION("GOOGLETRANSLATE(B1010, ""tr"", ""en"" )"),"To annoy those around him with his words and behaviors; disturbing; To target and cause harsh criticisms, attacks")</f>
        <v>To annoy those around him with his words and behaviors; disturbing; To target and cause harsh criticisms, attacks</v>
      </c>
    </row>
    <row r="1011" spans="1:3" ht="14.25" customHeight="1" x14ac:dyDescent="0.3">
      <c r="A1011" s="3" t="s">
        <v>2014</v>
      </c>
      <c r="B1011" s="6" t="s">
        <v>2015</v>
      </c>
      <c r="C1011" s="5" t="str">
        <f ca="1">IFERROR(__xludf.DUMMYFUNCTION("GOOGLETRANSLATE(B1011, ""tr"", ""en"" )"),"Break, exit out of his ground, losing the order")</f>
        <v>Break, exit out of his ground, losing the order</v>
      </c>
    </row>
    <row r="1012" spans="1:3" ht="14.25" customHeight="1" x14ac:dyDescent="0.3">
      <c r="A1012" s="3" t="s">
        <v>2016</v>
      </c>
      <c r="B1012" s="6" t="s">
        <v>2017</v>
      </c>
      <c r="C1012" s="5" t="str">
        <f ca="1">IFERROR(__xludf.DUMMYFUNCTION("GOOGLETRANSLATE(B1012, ""tr"", ""en"" )"),"Anyone who gets abuse of almost every event, says that there will be bad things, feared the possibility of the possibilities he puts forward")</f>
        <v>Anyone who gets abuse of almost every event, says that there will be bad things, feared the possibility of the possibilities he puts forward</v>
      </c>
    </row>
    <row r="1013" spans="1:3" ht="14.25" customHeight="1" x14ac:dyDescent="0.3">
      <c r="A1013" s="3" t="s">
        <v>2018</v>
      </c>
      <c r="B1013" s="6" t="s">
        <v>2019</v>
      </c>
      <c r="C1013" s="5" t="str">
        <f ca="1">IFERROR(__xludf.DUMMYFUNCTION("GOOGLETRANSLATE(B1013, ""tr"", ""en"" )"),"Not to listen to objection, not to accept an excuse, to ask for an excuse")</f>
        <v>Not to listen to objection, not to accept an excuse, to ask for an excuse</v>
      </c>
    </row>
    <row r="1014" spans="1:3" ht="14.25" customHeight="1" x14ac:dyDescent="0.3">
      <c r="A1014" s="3" t="s">
        <v>2020</v>
      </c>
      <c r="B1014" s="6" t="s">
        <v>2021</v>
      </c>
      <c r="C1014" s="5" t="str">
        <f ca="1">IFERROR(__xludf.DUMMYFUNCTION("GOOGLETRANSLATE(B1014, ""tr"", ""en"" )"),"The doubt that gnaws the inside of him and makes him anxious")</f>
        <v>The doubt that gnaws the inside of him and makes him anxious</v>
      </c>
    </row>
    <row r="1015" spans="1:3" ht="14.25" customHeight="1" x14ac:dyDescent="0.3">
      <c r="A1015" s="3" t="s">
        <v>2022</v>
      </c>
      <c r="B1015" s="6" t="s">
        <v>2023</v>
      </c>
      <c r="C1015" s="5" t="str">
        <f ca="1">IFERROR(__xludf.DUMMYFUNCTION("GOOGLETRANSLATE(B1015, ""tr"", ""en"" )"),"There is nothing to ride, there is no choice but to go to the emitting")</f>
        <v>There is nothing to ride, there is no choice but to go to the emitting</v>
      </c>
    </row>
    <row r="1016" spans="1:3" ht="14.25" customHeight="1" x14ac:dyDescent="0.3">
      <c r="A1016" s="3" t="s">
        <v>2024</v>
      </c>
      <c r="B1016" s="6" t="s">
        <v>2025</v>
      </c>
      <c r="C1016" s="5" t="str">
        <f ca="1">IFERROR(__xludf.DUMMYFUNCTION("GOOGLETRANSLATE(B1016, ""tr"", ""en"" )"),"Start walking too fast or running running too fast")</f>
        <v>Start walking too fast or running running too fast</v>
      </c>
    </row>
    <row r="1017" spans="1:3" ht="14.25" customHeight="1" x14ac:dyDescent="0.3">
      <c r="A1017" s="3" t="s">
        <v>2026</v>
      </c>
      <c r="B1017" s="6" t="s">
        <v>2027</v>
      </c>
      <c r="C1017" s="5" t="str">
        <f ca="1">IFERROR(__xludf.DUMMYFUNCTION("GOOGLETRANSLATE(B1017, ""tr"", ""en"" )"),"Run away")</f>
        <v>Run away</v>
      </c>
    </row>
    <row r="1018" spans="1:3" ht="14.25" customHeight="1" x14ac:dyDescent="0.3">
      <c r="A1018" s="3" t="s">
        <v>2028</v>
      </c>
      <c r="B1018" s="6" t="s">
        <v>2029</v>
      </c>
      <c r="C1018" s="5" t="str">
        <f ca="1">IFERROR(__xludf.DUMMYFUNCTION("GOOGLETRANSLATE(B1018, ""tr"", ""en"" )"),"Being completely opposite each other is very contrary to each other")</f>
        <v>Being completely opposite each other is very contrary to each other</v>
      </c>
    </row>
    <row r="1019" spans="1:3" ht="14.25" customHeight="1" x14ac:dyDescent="0.3">
      <c r="A1019" s="3" t="s">
        <v>2030</v>
      </c>
      <c r="B1019" s="6" t="s">
        <v>2031</v>
      </c>
      <c r="C1019" s="5" t="str">
        <f ca="1">IFERROR(__xludf.DUMMYFUNCTION("GOOGLETRANSLATE(B1019, ""tr"", ""en"" )"),"Not to forget the taste and flavor")</f>
        <v>Not to forget the taste and flavor</v>
      </c>
    </row>
    <row r="1020" spans="1:3" ht="14.25" customHeight="1" x14ac:dyDescent="0.3">
      <c r="A1020" s="3" t="s">
        <v>2032</v>
      </c>
      <c r="B1020" s="6" t="s">
        <v>2033</v>
      </c>
      <c r="C1020" s="5" t="str">
        <f ca="1">IFERROR(__xludf.DUMMYFUNCTION("GOOGLETRANSLATE(B1020, ""tr"", ""en"" )"),"Not to escape to extremes")</f>
        <v>Not to escape to extremes</v>
      </c>
    </row>
    <row r="1021" spans="1:3" ht="14.25" customHeight="1" x14ac:dyDescent="0.3">
      <c r="A1021" s="3" t="s">
        <v>2034</v>
      </c>
      <c r="B1021" s="6" t="s">
        <v>2035</v>
      </c>
      <c r="C1021" s="5" t="str">
        <f ca="1">IFERROR(__xludf.DUMMYFUNCTION("GOOGLETRANSLATE(B1021, ""tr"", ""en"" )"),"To take advantage of the beauties or opportunities provided by something as they wish")</f>
        <v>To take advantage of the beauties or opportunities provided by something as they wish</v>
      </c>
    </row>
    <row r="1022" spans="1:3" ht="14.25" customHeight="1" x14ac:dyDescent="0.3">
      <c r="A1022" s="3" t="s">
        <v>2036</v>
      </c>
      <c r="B1022" s="6" t="s">
        <v>2037</v>
      </c>
      <c r="C1022" s="5" t="str">
        <f ca="1">IFERROR(__xludf.DUMMYFUNCTION("GOOGLETRANSLATE(B1022, ""tr"", ""en"" )"),"To create a negative situation by escaping to extremes in something that is trying to enjoy, to break the pleasure")</f>
        <v>To create a negative situation by escaping to extremes in something that is trying to enjoy, to break the pleasure</v>
      </c>
    </row>
    <row r="1023" spans="1:3" ht="14.25" customHeight="1" x14ac:dyDescent="0.3">
      <c r="A1023" s="3" t="s">
        <v>2038</v>
      </c>
      <c r="B1023" s="6" t="s">
        <v>2039</v>
      </c>
      <c r="C1023" s="5" t="str">
        <f ca="1">IFERROR(__xludf.DUMMYFUNCTION("GOOGLETRANSLATE(B1023, ""tr"", ""en"" )"),"The old pleasure is not to remain, to become uninspired, to eliminate the beautiful and attractive situation")</f>
        <v>The old pleasure is not to remain, to become uninspired, to eliminate the beautiful and attractive situation</v>
      </c>
    </row>
    <row r="1024" spans="1:3" ht="14.25" customHeight="1" x14ac:dyDescent="0.3">
      <c r="A1024" s="3" t="s">
        <v>2040</v>
      </c>
      <c r="B1024" s="6" t="s">
        <v>2041</v>
      </c>
      <c r="C1024" s="5" t="str">
        <f ca="1">IFERROR(__xludf.DUMMYFUNCTION("GOOGLETRANSLATE(B1024, ""tr"", ""en"" )"),"Cemetery")</f>
        <v>Cemetery</v>
      </c>
    </row>
    <row r="1025" spans="1:3" ht="14.25" customHeight="1" x14ac:dyDescent="0.3">
      <c r="A1025" s="3" t="s">
        <v>2042</v>
      </c>
      <c r="B1025" s="6" t="s">
        <v>2043</v>
      </c>
      <c r="C1025" s="5" t="str">
        <f ca="1">IFERROR(__xludf.DUMMYFUNCTION("GOOGLETRANSLATE(B1025, ""tr"", ""en"" )"),"Less than your mind, crazy")</f>
        <v>Less than your mind, crazy</v>
      </c>
    </row>
    <row r="1026" spans="1:3" ht="14.25" customHeight="1" x14ac:dyDescent="0.3">
      <c r="A1026" s="3" t="s">
        <v>2044</v>
      </c>
      <c r="B1026" s="6" t="s">
        <v>2045</v>
      </c>
      <c r="C1026" s="5" t="str">
        <f ca="1">IFERROR(__xludf.DUMMYFUNCTION("GOOGLETRANSLATE(B1026, ""tr"", ""en"" )"),"When what covers the fault, the misdemeanor disappeared, all the ugliness, tricks, shames appeared")</f>
        <v>When what covers the fault, the misdemeanor disappeared, all the ugliness, tricks, shames appeared</v>
      </c>
    </row>
    <row r="1027" spans="1:3" ht="14.25" customHeight="1" x14ac:dyDescent="0.3">
      <c r="A1027" s="3" t="s">
        <v>2046</v>
      </c>
      <c r="B1027" s="6" t="s">
        <v>2047</v>
      </c>
      <c r="C1027" s="5" t="str">
        <f ca="1">IFERROR(__xludf.DUMMYFUNCTION("GOOGLETRANSLATE(B1027, ""tr"", ""en"" )"),"There is nothing in it, empty")</f>
        <v>There is nothing in it, empty</v>
      </c>
    </row>
    <row r="1028" spans="1:3" ht="14.25" customHeight="1" x14ac:dyDescent="0.3">
      <c r="A1028" s="3" t="s">
        <v>2048</v>
      </c>
      <c r="B1028" s="6" t="s">
        <v>2049</v>
      </c>
      <c r="C1028" s="5" t="str">
        <f ca="1">IFERROR(__xludf.DUMMYFUNCTION("GOOGLETRANSLATE(B1028, ""tr"", ""en"" )"),"Finding the desired thing, making hit in ideas and behaviors, saying the desired word")</f>
        <v>Finding the desired thing, making hit in ideas and behaviors, saying the desired word</v>
      </c>
    </row>
    <row r="1029" spans="1:3" ht="14.25" customHeight="1" x14ac:dyDescent="0.3">
      <c r="A1029" s="3" t="s">
        <v>2050</v>
      </c>
      <c r="B1029" s="6" t="s">
        <v>2051</v>
      </c>
      <c r="C1029" s="5" t="str">
        <f ca="1">IFERROR(__xludf.DUMMYFUNCTION("GOOGLETRANSLATE(B1029, ""tr"", ""en"" )"),"Supporting one side, exit")</f>
        <v>Supporting one side, exit</v>
      </c>
    </row>
    <row r="1030" spans="1:3" ht="14.25" customHeight="1" x14ac:dyDescent="0.3">
      <c r="A1030" s="3" t="s">
        <v>2052</v>
      </c>
      <c r="B1030" s="6" t="s">
        <v>2053</v>
      </c>
      <c r="C1030" s="5" t="str">
        <f ca="1">IFERROR(__xludf.DUMMYFUNCTION("GOOGLETRANSLATE(B1030, ""tr"", ""en"" )"),"To be known alone or to disappear")</f>
        <v>To be known alone or to disappear</v>
      </c>
    </row>
    <row r="1031" spans="1:3" ht="14.25" customHeight="1" x14ac:dyDescent="0.3">
      <c r="A1031" s="3" t="s">
        <v>2054</v>
      </c>
      <c r="B1031" s="6" t="s">
        <v>2055</v>
      </c>
      <c r="C1031" s="5" t="str">
        <f ca="1">IFERROR(__xludf.DUMMYFUNCTION("GOOGLETRANSLATE(B1031, ""tr"", ""en"" )"),"Collect all his belongings")</f>
        <v>Collect all his belongings</v>
      </c>
    </row>
    <row r="1032" spans="1:3" ht="14.25" customHeight="1" x14ac:dyDescent="0.3">
      <c r="A1032" s="3" t="s">
        <v>2056</v>
      </c>
      <c r="B1032" s="6" t="s">
        <v>2057</v>
      </c>
      <c r="C1032" s="5" t="str">
        <f ca="1">IFERROR(__xludf.DUMMYFUNCTION("GOOGLETRANSLATE(B1032, ""tr"", ""en"" )"),"Saying a word that will touch someone, hurt him")</f>
        <v>Saying a word that will touch someone, hurt him</v>
      </c>
    </row>
    <row r="1033" spans="1:3" ht="14.25" customHeight="1" x14ac:dyDescent="0.3">
      <c r="A1033" s="3" t="s">
        <v>2058</v>
      </c>
      <c r="B1033" s="6" t="s">
        <v>2059</v>
      </c>
      <c r="C1033" s="5" t="str">
        <f ca="1">IFERROR(__xludf.DUMMYFUNCTION("GOOGLETRANSLATE(B1033, ""tr"", ""en"" )"),"Throwing stones on top of each other, stoning constantly")</f>
        <v>Throwing stones on top of each other, stoning constantly</v>
      </c>
    </row>
    <row r="1034" spans="1:3" ht="14.25" customHeight="1" x14ac:dyDescent="0.3">
      <c r="A1034" s="3" t="s">
        <v>2060</v>
      </c>
      <c r="B1034" s="6" t="s">
        <v>2061</v>
      </c>
      <c r="C1034" s="5" t="str">
        <f ca="1">IFERROR(__xludf.DUMMYFUNCTION("GOOGLETRANSLATE(B1034, ""tr"", ""en"" )"),"One is to be superior to its nature")</f>
        <v>One is to be superior to its nature</v>
      </c>
    </row>
    <row r="1035" spans="1:3" ht="14.25" customHeight="1" x14ac:dyDescent="0.3">
      <c r="A1035" s="3" t="s">
        <v>2062</v>
      </c>
      <c r="B1035" s="6" t="s">
        <v>2063</v>
      </c>
      <c r="C1035" s="5" t="str">
        <f ca="1">IFERROR(__xludf.DUMMYFUNCTION("GOOGLETRANSLATE(B1035, ""tr"", ""en"" )"),"Saying a necessary word in a clever movement just on time and on the spot")</f>
        <v>Saying a necessary word in a clever movement just on time and on the spot</v>
      </c>
    </row>
    <row r="1036" spans="1:3" ht="14.25" customHeight="1" x14ac:dyDescent="0.3">
      <c r="A1036" s="3" t="s">
        <v>2064</v>
      </c>
      <c r="B1036" s="6" t="s">
        <v>2065</v>
      </c>
      <c r="C1036" s="5" t="str">
        <f ca="1">IFERROR(__xludf.DUMMYFUNCTION("GOOGLETRANSLATE(B1036, ""tr"", ""en"" )"),"Very strong, vigorous in the body")</f>
        <v>Very strong, vigorous in the body</v>
      </c>
    </row>
    <row r="1037" spans="1:3" ht="14.25" customHeight="1" x14ac:dyDescent="0.3">
      <c r="A1037" s="3" t="s">
        <v>2066</v>
      </c>
      <c r="B1037" s="6" t="s">
        <v>2067</v>
      </c>
      <c r="C1037" s="5" t="str">
        <f ca="1">IFERROR(__xludf.DUMMYFUNCTION("GOOGLETRANSLATE(B1037, ""tr"", ""en"" )"),"Being very surprised and not knowing what to do, what to say; Not being able to make a voice, not being able to move")</f>
        <v>Being very surprised and not knowing what to do, what to say; Not being able to make a voice, not being able to move</v>
      </c>
    </row>
    <row r="1038" spans="1:3" ht="14.25" customHeight="1" x14ac:dyDescent="0.3">
      <c r="A1038" s="3" t="s">
        <v>2068</v>
      </c>
      <c r="B1038" s="6" t="s">
        <v>2069</v>
      </c>
      <c r="C1038" s="5" t="str">
        <f ca="1">IFERROR(__xludf.DUMMYFUNCTION("GOOGLETRANSLATE(B1038, ""tr"", ""en"" )"),"Destroy everything and destroy it")</f>
        <v>Destroy everything and destroy it</v>
      </c>
    </row>
    <row r="1039" spans="1:3" ht="14.25" customHeight="1" x14ac:dyDescent="0.3">
      <c r="A1039" s="3" t="s">
        <v>2070</v>
      </c>
      <c r="B1039" s="6" t="s">
        <v>2071</v>
      </c>
      <c r="C1039" s="5" t="str">
        <f ca="1">IFERROR(__xludf.DUMMYFUNCTION("GOOGLETRANSLATE(B1039, ""tr"", ""en"" )"),"It does not feel any pity, merciless")</f>
        <v>It does not feel any pity, merciless</v>
      </c>
    </row>
    <row r="1040" spans="1:3" ht="14.25" customHeight="1" x14ac:dyDescent="0.3">
      <c r="A1040" s="3" t="s">
        <v>2072</v>
      </c>
      <c r="B1040" s="6" t="s">
        <v>2073</v>
      </c>
      <c r="C1040" s="5" t="str">
        <f ca="1">IFERROR(__xludf.DUMMYFUNCTION("GOOGLETRANSLATE(B1040, ""tr"", ""en"" )"),"Heart -buyer, pleasant, non -breaking speech or word")</f>
        <v>Heart -buyer, pleasant, non -breaking speech or word</v>
      </c>
    </row>
    <row r="1041" spans="1:3" ht="14.25" customHeight="1" x14ac:dyDescent="0.3">
      <c r="A1041" s="3" t="s">
        <v>2074</v>
      </c>
      <c r="B1041" s="6" t="s">
        <v>2075</v>
      </c>
      <c r="C1041" s="5" t="str">
        <f ca="1">IFERROR(__xludf.DUMMYFUNCTION("GOOGLETRANSLATE(B1041, ""tr"", ""en"" )"),"Although it does not break, it is not soft or not.")</f>
        <v>Although it does not break, it is not soft or not.</v>
      </c>
    </row>
    <row r="1042" spans="1:3" ht="14.25" customHeight="1" x14ac:dyDescent="0.3">
      <c r="A1042" s="3" t="s">
        <v>2076</v>
      </c>
      <c r="B1042" s="6" t="s">
        <v>2077</v>
      </c>
      <c r="C1042" s="5" t="str">
        <f ca="1">IFERROR(__xludf.DUMMYFUNCTION("GOOGLETRANSLATE(B1042, ""tr"", ""en"" )"),"To solve a dispute to a solution to satisfy the parties")</f>
        <v>To solve a dispute to a solution to satisfy the parties</v>
      </c>
    </row>
    <row r="1043" spans="1:3" ht="14.25" customHeight="1" x14ac:dyDescent="0.3">
      <c r="A1043" s="3" t="s">
        <v>2078</v>
      </c>
      <c r="B1043" s="6" t="s">
        <v>2079</v>
      </c>
      <c r="C1043" s="5" t="str">
        <f ca="1">IFERROR(__xludf.DUMMYFUNCTION("GOOGLETRANSLATE(B1043, ""tr"", ""en"" )"),"To make a job most suitable")</f>
        <v>To make a job most suitable</v>
      </c>
    </row>
    <row r="1044" spans="1:3" ht="14.25" customHeight="1" x14ac:dyDescent="0.3">
      <c r="A1044" s="3" t="s">
        <v>2080</v>
      </c>
      <c r="B1044" s="6" t="s">
        <v>2081</v>
      </c>
      <c r="C1044" s="5" t="str">
        <f ca="1">IFERROR(__xludf.DUMMYFUNCTION("GOOGLETRANSLATE(B1044, ""tr"", ""en"" )"),"Softening, bleeding")</f>
        <v>Softening, bleeding</v>
      </c>
    </row>
    <row r="1045" spans="1:3" ht="14.25" customHeight="1" x14ac:dyDescent="0.3">
      <c r="A1045" s="3" t="s">
        <v>2082</v>
      </c>
      <c r="B1045" s="6" t="s">
        <v>2083</v>
      </c>
      <c r="C1045" s="5" t="str">
        <f ca="1">IFERROR(__xludf.DUMMYFUNCTION("GOOGLETRANSLATE(B1045, ""tr"", ""en"" )"),"To take a certain situation and behavior.")</f>
        <v>To take a certain situation and behavior.</v>
      </c>
    </row>
    <row r="1046" spans="1:3" ht="14.25" customHeight="1" x14ac:dyDescent="0.3">
      <c r="A1046" s="3" t="s">
        <v>2084</v>
      </c>
      <c r="B1046" s="6" t="s">
        <v>2085</v>
      </c>
      <c r="C1046" s="5" t="str">
        <f ca="1">IFERROR(__xludf.DUMMYFUNCTION("GOOGLETRANSLATE(B1046, ""tr"", ""en"" )"),"Provision of sides against each other for conflict, encouraging their behavior")</f>
        <v>Provision of sides against each other for conflict, encouraging their behavior</v>
      </c>
    </row>
    <row r="1047" spans="1:3" ht="14.25" customHeight="1" x14ac:dyDescent="0.3">
      <c r="A1047" s="3" t="s">
        <v>2086</v>
      </c>
      <c r="B1047" s="6" t="s">
        <v>2087</v>
      </c>
      <c r="C1047" s="5" t="str">
        <f ca="1">IFERROR(__xludf.DUMMYFUNCTION("GOOGLETRANSLATE(B1047, ""tr"", ""en"" )"),"There is a very distant interest between the two things")</f>
        <v>There is a very distant interest between the two things</v>
      </c>
    </row>
    <row r="1048" spans="1:3" ht="14.25" customHeight="1" x14ac:dyDescent="0.3">
      <c r="A1048" s="3" t="s">
        <v>2088</v>
      </c>
      <c r="B1048" s="6" t="s">
        <v>2089</v>
      </c>
      <c r="C1048" s="5" t="str">
        <f ca="1">IFERROR(__xludf.DUMMYFUNCTION("GOOGLETRANSLATE(B1048, ""tr"", ""en"" )"),"Cowardly, timid, shy")</f>
        <v>Cowardly, timid, shy</v>
      </c>
    </row>
    <row r="1049" spans="1:3" ht="14.25" customHeight="1" x14ac:dyDescent="0.3">
      <c r="A1049" s="3" t="s">
        <v>2090</v>
      </c>
      <c r="B1049" s="6" t="s">
        <v>2091</v>
      </c>
      <c r="C1049" s="5" t="str">
        <f ca="1">IFERROR(__xludf.DUMMYFUNCTION("GOOGLETRANSLATE(B1049, ""tr"", ""en"" )"),"Wandering in disguise to avoid being recognized")</f>
        <v>Wandering in disguise to avoid being recognized</v>
      </c>
    </row>
    <row r="1050" spans="1:3" ht="14.25" customHeight="1" x14ac:dyDescent="0.3">
      <c r="A1050" s="3" t="s">
        <v>2092</v>
      </c>
      <c r="B1050" s="6" t="s">
        <v>2093</v>
      </c>
      <c r="C1050" s="5" t="str">
        <f ca="1">IFERROR(__xludf.DUMMYFUNCTION("GOOGLETRANSLATE(B1050, ""tr"", ""en"" )"),"To prevent someone on the way to prevent and disappear")</f>
        <v>To prevent someone on the way to prevent and disappear</v>
      </c>
    </row>
    <row r="1051" spans="1:3" ht="14.25" customHeight="1" x14ac:dyDescent="0.3">
      <c r="A1051" s="3" t="s">
        <v>2094</v>
      </c>
      <c r="B1051" s="6" t="s">
        <v>2095</v>
      </c>
      <c r="C1051" s="5" t="str">
        <f ca="1">IFERROR(__xludf.DUMMYFUNCTION("GOOGLETRANSLATE(B1051, ""tr"", ""en"" )"),"To tell a matter constantly, to be a new thing as a new thing")</f>
        <v>To tell a matter constantly, to be a new thing as a new thing</v>
      </c>
    </row>
    <row r="1052" spans="1:3" ht="14.25" customHeight="1" x14ac:dyDescent="0.3">
      <c r="A1052" s="3" t="s">
        <v>2096</v>
      </c>
      <c r="B1052" s="6" t="s">
        <v>2097</v>
      </c>
      <c r="C1052" s="5" t="str">
        <f ca="1">IFERROR(__xludf.DUMMYFUNCTION("GOOGLETRANSLATE(B1052, ""tr"", ""en"" )"),"To be understood that a person is innocent")</f>
        <v>To be understood that a person is innocent</v>
      </c>
    </row>
    <row r="1053" spans="1:3" ht="14.25" customHeight="1" x14ac:dyDescent="0.3">
      <c r="A1053" s="3" t="s">
        <v>2098</v>
      </c>
      <c r="B1053" s="6" t="s">
        <v>2099</v>
      </c>
      <c r="C1053" s="5" t="str">
        <f ca="1">IFERROR(__xludf.DUMMYFUNCTION("GOOGLETRANSLATE(B1053, ""tr"", ""en"" )"),"Hardly getting along, contenting with what")</f>
        <v>Hardly getting along, contenting with what</v>
      </c>
    </row>
    <row r="1054" spans="1:3" ht="14.25" customHeight="1" x14ac:dyDescent="0.3">
      <c r="A1054" s="3" t="s">
        <v>2100</v>
      </c>
      <c r="B1054" s="6" t="s">
        <v>2101</v>
      </c>
      <c r="C1054" s="5" t="str">
        <f ca="1">IFERROR(__xludf.DUMMYFUNCTION("GOOGLETRANSLATE(B1054, ""tr"", ""en"" )"),"Two worthless people came together, united and suited to each other")</f>
        <v>Two worthless people came together, united and suited to each other</v>
      </c>
    </row>
    <row r="1055" spans="1:3" ht="14.25" customHeight="1" x14ac:dyDescent="0.3">
      <c r="A1055" s="3" t="s">
        <v>2102</v>
      </c>
      <c r="B1055" s="6" t="s">
        <v>2103</v>
      </c>
      <c r="C1055" s="5" t="str">
        <f ca="1">IFERROR(__xludf.DUMMYFUNCTION("GOOGLETRANSLATE(B1055, ""tr"", ""en"" )"),"To despise, to see yourself superior")</f>
        <v>To despise, to see yourself superior</v>
      </c>
    </row>
    <row r="1056" spans="1:3" ht="14.25" customHeight="1" x14ac:dyDescent="0.3">
      <c r="A1056" s="3" t="s">
        <v>2104</v>
      </c>
      <c r="B1056" s="6" t="s">
        <v>2105</v>
      </c>
      <c r="C1056" s="5" t="str">
        <f ca="1">IFERROR(__xludf.DUMMYFUNCTION("GOOGLETRANSLATE(B1056, ""tr"", ""en"" )"),"All over, from top to bottom, the whole body")</f>
        <v>All over, from top to bottom, the whole body</v>
      </c>
    </row>
    <row r="1057" spans="1:3" ht="14.25" customHeight="1" x14ac:dyDescent="0.3">
      <c r="A1057" s="3" t="s">
        <v>2106</v>
      </c>
      <c r="B1057" s="6" t="s">
        <v>2107</v>
      </c>
      <c r="C1057" s="5" t="str">
        <f ca="1">IFERROR(__xludf.DUMMYFUNCTION("GOOGLETRANSLATE(B1057, ""tr"", ""en"" )"),"Getting very angry, suddenly getting angry")</f>
        <v>Getting very angry, suddenly getting angry</v>
      </c>
    </row>
    <row r="1058" spans="1:3" ht="14.25" customHeight="1" x14ac:dyDescent="0.3">
      <c r="A1058" s="3" t="s">
        <v>2108</v>
      </c>
      <c r="B1058" s="6" t="s">
        <v>2109</v>
      </c>
      <c r="C1058" s="5" t="str">
        <f ca="1">IFERROR(__xludf.DUMMYFUNCTION("GOOGLETRANSLATE(B1058, ""tr"", ""en"" )"),"To do whatever he wants because of his spoiledness")</f>
        <v>To do whatever he wants because of his spoiledness</v>
      </c>
    </row>
    <row r="1059" spans="1:3" ht="14.25" customHeight="1" x14ac:dyDescent="0.3">
      <c r="A1059" s="3" t="s">
        <v>2110</v>
      </c>
      <c r="B1059" s="6" t="s">
        <v>2111</v>
      </c>
      <c r="C1059" s="5" t="str">
        <f ca="1">IFERROR(__xludf.DUMMYFUNCTION("GOOGLETRANSLATE(B1059, ""tr"", ""en"" )"),"Using it as you wish")</f>
        <v>Using it as you wish</v>
      </c>
    </row>
    <row r="1060" spans="1:3" ht="14.25" customHeight="1" x14ac:dyDescent="0.3">
      <c r="A1060" s="3" t="s">
        <v>2112</v>
      </c>
      <c r="B1060" s="6" t="s">
        <v>2113</v>
      </c>
      <c r="C1060" s="5" t="str">
        <f ca="1">IFERROR(__xludf.DUMMYFUNCTION("GOOGLETRANSLATE(B1060, ""tr"", ""en"" )"),"Too hard to do a job, to have difficulty")</f>
        <v>Too hard to do a job, to have difficulty</v>
      </c>
    </row>
    <row r="1061" spans="1:3" ht="14.25" customHeight="1" x14ac:dyDescent="0.3">
      <c r="A1061" s="3" t="s">
        <v>2114</v>
      </c>
      <c r="B1061" s="6" t="s">
        <v>2115</v>
      </c>
      <c r="C1061" s="5" t="str">
        <f ca="1">IFERROR(__xludf.DUMMYFUNCTION("GOOGLETRANSLATE(B1061, ""tr"", ""en"" )"),"Trying to give someone information on something he knows very well")</f>
        <v>Trying to give someone information on something he knows very well</v>
      </c>
    </row>
    <row r="1062" spans="1:3" ht="14.25" customHeight="1" x14ac:dyDescent="0.3">
      <c r="A1062" s="3" t="s">
        <v>2116</v>
      </c>
      <c r="B1062" s="6" t="s">
        <v>2117</v>
      </c>
      <c r="C1062" s="5" t="str">
        <f ca="1">IFERROR(__xludf.DUMMYFUNCTION("GOOGLETRANSLATE(B1062, ""tr"", ""en"" )"),"Without harming anyone, without making anyone feel very easily, getting rid of some responsibilities")</f>
        <v>Without harming anyone, without making anyone feel very easily, getting rid of some responsibilities</v>
      </c>
    </row>
    <row r="1063" spans="1:3" ht="14.25" customHeight="1" x14ac:dyDescent="0.3">
      <c r="A1063" s="3" t="s">
        <v>2118</v>
      </c>
      <c r="B1063" s="6" t="s">
        <v>2119</v>
      </c>
      <c r="C1063" s="5" t="str">
        <f ca="1">IFERROR(__xludf.DUMMYFUNCTION("GOOGLETRANSLATE(B1063, ""tr"", ""en"" )"),"Otherwise, being grumpy and reverse")</f>
        <v>Otherwise, being grumpy and reverse</v>
      </c>
    </row>
    <row r="1064" spans="1:3" ht="14.25" customHeight="1" x14ac:dyDescent="0.3">
      <c r="A1064" s="3" t="s">
        <v>2120</v>
      </c>
      <c r="B1064" s="6" t="s">
        <v>2121</v>
      </c>
      <c r="C1064" s="5" t="str">
        <f ca="1">IFERROR(__xludf.DUMMYFUNCTION("GOOGLETRANSLATE(B1064, ""tr"", ""en"" )"),"Before you get what you want, return empty -handed")</f>
        <v>Before you get what you want, return empty -handed</v>
      </c>
    </row>
    <row r="1065" spans="1:3" ht="14.25" customHeight="1" x14ac:dyDescent="0.3">
      <c r="A1065" s="3" t="s">
        <v>2122</v>
      </c>
      <c r="B1065" s="6" t="s">
        <v>2123</v>
      </c>
      <c r="C1065" s="5" t="str">
        <f ca="1">IFERROR(__xludf.DUMMYFUNCTION("GOOGLETRANSLATE(B1065, ""tr"", ""en"" )"),"To be awake and ready at any moment")</f>
        <v>To be awake and ready at any moment</v>
      </c>
    </row>
    <row r="1066" spans="1:3" ht="14.25" customHeight="1" x14ac:dyDescent="0.3">
      <c r="A1066" s="3" t="s">
        <v>2124</v>
      </c>
      <c r="B1066" s="6" t="s">
        <v>2125</v>
      </c>
      <c r="C1066" s="5" t="str">
        <f ca="1">IFERROR(__xludf.DUMMYFUNCTION("GOOGLETRANSLATE(B1066, ""tr"", ""en"" )"),"Hasty, impatient, unable to wait")</f>
        <v>Hasty, impatient, unable to wait</v>
      </c>
    </row>
    <row r="1067" spans="1:3" ht="14.25" customHeight="1" x14ac:dyDescent="0.3">
      <c r="A1067" s="3" t="s">
        <v>2126</v>
      </c>
      <c r="B1067" s="6" t="s">
        <v>2127</v>
      </c>
      <c r="C1067" s="5" t="str">
        <f ca="1">IFERROR(__xludf.DUMMYFUNCTION("GOOGLETRANSLATE(B1067, ""tr"", ""en"" )"),"Quickly, as soon as possible,")</f>
        <v>Quickly, as soon as possible,</v>
      </c>
    </row>
    <row r="1068" spans="1:3" ht="14.25" customHeight="1" x14ac:dyDescent="0.3">
      <c r="A1068" s="3" t="s">
        <v>2128</v>
      </c>
      <c r="B1068" s="6" t="s">
        <v>2129</v>
      </c>
      <c r="C1068" s="5" t="str">
        <f ca="1">IFERROR(__xludf.DUMMYFUNCTION("GOOGLETRANSLATE(B1068, ""tr"", ""en"" )"),"To fire, to dismiss, to end your work")</f>
        <v>To fire, to dismiss, to end your work</v>
      </c>
    </row>
    <row r="1069" spans="1:3" ht="14.25" customHeight="1" x14ac:dyDescent="0.3">
      <c r="A1069" s="3" t="s">
        <v>2130</v>
      </c>
      <c r="B1069" s="6" t="s">
        <v>2131</v>
      </c>
      <c r="C1069" s="5" t="str">
        <f ca="1">IFERROR(__xludf.DUMMYFUNCTION("GOOGLETRANSLATE(B1069, ""tr"", ""en"" )"),"Pressing and compressing while filling, not leaving no empty space")</f>
        <v>Pressing and compressing while filling, not leaving no empty space</v>
      </c>
    </row>
    <row r="1070" spans="1:3" ht="14.25" customHeight="1" x14ac:dyDescent="0.3">
      <c r="A1070" s="3" t="s">
        <v>2132</v>
      </c>
      <c r="B1070" s="6" t="s">
        <v>2133</v>
      </c>
      <c r="C1070" s="5" t="str">
        <f ca="1">IFERROR(__xludf.DUMMYFUNCTION("GOOGLETRANSLATE(B1070, ""tr"", ""en"" )"),"Eating too much, a lot of food, enough food to disturb the stomach")</f>
        <v>Eating too much, a lot of food, enough food to disturb the stomach</v>
      </c>
    </row>
    <row r="1071" spans="1:3" ht="14.25" customHeight="1" x14ac:dyDescent="0.3">
      <c r="A1071" s="3" t="s">
        <v>2134</v>
      </c>
      <c r="B1071" s="6" t="s">
        <v>2135</v>
      </c>
      <c r="C1071" s="5" t="str">
        <f ca="1">IFERROR(__xludf.DUMMYFUNCTION("GOOGLETRANSLATE(B1071, ""tr"", ""en"" )"),"Even though it is wealthy, it is greedy even though it does not need it, who wants to have everything (nobody)")</f>
        <v>Even though it is wealthy, it is greedy even though it does not need it, who wants to have everything (nobody)</v>
      </c>
    </row>
    <row r="1072" spans="1:3" ht="14.25" customHeight="1" x14ac:dyDescent="0.3">
      <c r="A1072" s="3" t="s">
        <v>2136</v>
      </c>
      <c r="B1072" s="6" t="s">
        <v>2137</v>
      </c>
      <c r="C1072" s="5" t="str">
        <f ca="1">IFERROR(__xludf.DUMMYFUNCTION("GOOGLETRANSLATE(B1072, ""tr"", ""en"" )"),"Trowel, money, food is not fond of; generous")</f>
        <v>Trowel, money, food is not fond of; generous</v>
      </c>
    </row>
    <row r="1073" spans="1:3" ht="14.25" customHeight="1" x14ac:dyDescent="0.3">
      <c r="A1073" s="3" t="s">
        <v>2138</v>
      </c>
      <c r="B1073" s="6" t="s">
        <v>2139</v>
      </c>
      <c r="C1073" s="5" t="str">
        <f ca="1">IFERROR(__xludf.DUMMYFUNCTION("GOOGLETRANSLATE(B1073, ""tr"", ""en"" )"),"Saying his essence without sparing, without hesitation, without listening to the heart")</f>
        <v>Saying his essence without sparing, without hesitation, without listening to the heart</v>
      </c>
    </row>
    <row r="1074" spans="1:3" ht="14.25" customHeight="1" x14ac:dyDescent="0.3">
      <c r="A1074" s="3" t="s">
        <v>2140</v>
      </c>
      <c r="B1074" s="6" t="s">
        <v>2141</v>
      </c>
      <c r="C1074" s="5" t="str">
        <f ca="1">IFERROR(__xludf.DUMMYFUNCTION("GOOGLETRANSLATE(B1074, ""tr"", ""en"" )"),"Fall into a trap")</f>
        <v>Fall into a trap</v>
      </c>
    </row>
    <row r="1075" spans="1:3" ht="14.25" customHeight="1" x14ac:dyDescent="0.3">
      <c r="A1075" s="3" t="s">
        <v>2142</v>
      </c>
      <c r="B1075" s="6" t="s">
        <v>2143</v>
      </c>
      <c r="C1075" s="5" t="str">
        <f ca="1">IFERROR(__xludf.DUMMYFUNCTION("GOOGLETRANSLATE(B1075, ""tr"", ""en"" )"),"Saying a crusher, heavy words to a person")</f>
        <v>Saying a crusher, heavy words to a person</v>
      </c>
    </row>
    <row r="1076" spans="1:3" ht="14.25" customHeight="1" x14ac:dyDescent="0.3">
      <c r="A1076" s="3" t="s">
        <v>2144</v>
      </c>
      <c r="B1076" s="6" t="s">
        <v>2145</v>
      </c>
      <c r="C1076" s="5" t="str">
        <f ca="1">IFERROR(__xludf.DUMMYFUNCTION("GOOGLETRANSLATE(B1076, ""tr"", ""en"" )"),"Being closest to the danger, attack")</f>
        <v>Being closest to the danger, attack</v>
      </c>
    </row>
    <row r="1077" spans="1:3" ht="14.25" customHeight="1" x14ac:dyDescent="0.3">
      <c r="A1077" s="3" t="s">
        <v>2146</v>
      </c>
      <c r="B1077" s="6" t="s">
        <v>2147</v>
      </c>
      <c r="C1077" s="5" t="str">
        <f ca="1">IFERROR(__xludf.DUMMYFUNCTION("GOOGLETRANSLATE(B1077, ""tr"", ""en"" )"),"whether or not, all")</f>
        <v>whether or not, all</v>
      </c>
    </row>
    <row r="1078" spans="1:3" ht="14.25" customHeight="1" x14ac:dyDescent="0.3">
      <c r="A1078" s="3" t="s">
        <v>2148</v>
      </c>
      <c r="B1078" s="6" t="s">
        <v>2149</v>
      </c>
      <c r="C1078" s="5" t="str">
        <f ca="1">IFERROR(__xludf.DUMMYFUNCTION("GOOGLETRANSLATE(B1078, ""tr"", ""en"" )"),"Showing something flawless, not to admit that there may be a flaw in it")</f>
        <v>Showing something flawless, not to admit that there may be a flaw in it</v>
      </c>
    </row>
    <row r="1079" spans="1:3" ht="14.25" customHeight="1" x14ac:dyDescent="0.3">
      <c r="A1079" s="3" t="s">
        <v>2150</v>
      </c>
      <c r="B1079" s="6" t="s">
        <v>2151</v>
      </c>
      <c r="C1079" s="5" t="str">
        <f ca="1">IFERROR(__xludf.DUMMYFUNCTION("GOOGLETRANSLATE(B1079, ""tr"", ""en"" )"),"Disappear, escape, get away")</f>
        <v>Disappear, escape, get away</v>
      </c>
    </row>
    <row r="1080" spans="1:3" ht="14.25" customHeight="1" x14ac:dyDescent="0.3">
      <c r="A1080" s="3" t="s">
        <v>2152</v>
      </c>
      <c r="B1080" s="6" t="s">
        <v>2153</v>
      </c>
      <c r="C1080" s="5" t="str">
        <f ca="1">IFERROR(__xludf.DUMMYFUNCTION("GOOGLETRANSLATE(B1080, ""tr"", ""en"" )"),"To be overly optimistic; to meet almost every disruption, sad situations with optimism")</f>
        <v>To be overly optimistic; to meet almost every disruption, sad situations with optimism</v>
      </c>
    </row>
    <row r="1081" spans="1:3" ht="14.25" customHeight="1" x14ac:dyDescent="0.3">
      <c r="A1081" s="3" t="s">
        <v>2154</v>
      </c>
      <c r="B1081" s="6" t="s">
        <v>2155</v>
      </c>
      <c r="C1081" s="5" t="str">
        <f ca="1">IFERROR(__xludf.DUMMYFUNCTION("GOOGLETRANSLATE(B1081, ""tr"", ""en"" )"),"Upside down, causing confusion, making noise fuss")</f>
        <v>Upside down, causing confusion, making noise fuss</v>
      </c>
    </row>
    <row r="1082" spans="1:3" ht="14.25" customHeight="1" x14ac:dyDescent="0.3">
      <c r="A1082" s="3" t="s">
        <v>2156</v>
      </c>
      <c r="B1082" s="6" t="s">
        <v>2157</v>
      </c>
      <c r="C1082" s="5" t="str">
        <f ca="1">IFERROR(__xludf.DUMMYFUNCTION("GOOGLETRANSLATE(B1082, ""tr"", ""en"" )"),"To seize the opportunity to make an unexpected profit")</f>
        <v>To seize the opportunity to make an unexpected profit</v>
      </c>
    </row>
    <row r="1083" spans="1:3" ht="14.25" customHeight="1" x14ac:dyDescent="0.3">
      <c r="A1083" s="3" t="s">
        <v>2158</v>
      </c>
      <c r="B1083" s="6" t="s">
        <v>2159</v>
      </c>
      <c r="C1083" s="5" t="str">
        <f ca="1">IFERROR(__xludf.DUMMYFUNCTION("GOOGLETRANSLATE(B1083, ""tr"", ""en"" )"),"Very healthy, robust, comfortable")</f>
        <v>Very healthy, robust, comfortable</v>
      </c>
    </row>
    <row r="1084" spans="1:3" ht="14.25" customHeight="1" x14ac:dyDescent="0.3">
      <c r="A1084" s="3" t="s">
        <v>2160</v>
      </c>
      <c r="B1084" s="6" t="s">
        <v>382</v>
      </c>
      <c r="C1084" s="5" t="str">
        <f ca="1">IFERROR(__xludf.DUMMYFUNCTION("GOOGLETRANSLATE(B1084, ""tr"", ""en"" )"),"To get exhausted")</f>
        <v>To get exhausted</v>
      </c>
    </row>
    <row r="1085" spans="1:3" ht="14.25" customHeight="1" x14ac:dyDescent="0.3">
      <c r="A1085" s="3" t="s">
        <v>2161</v>
      </c>
      <c r="B1085" s="6" t="s">
        <v>2162</v>
      </c>
      <c r="C1085" s="5" t="str">
        <f ca="1">IFERROR(__xludf.DUMMYFUNCTION("GOOGLETRANSLATE(B1085, ""tr"", ""en"" )"),"Not being able to use something and spend when you need to spend")</f>
        <v>Not being able to use something and spend when you need to spend</v>
      </c>
    </row>
    <row r="1086" spans="1:3" ht="14.25" customHeight="1" x14ac:dyDescent="0.3">
      <c r="A1086" s="3" t="s">
        <v>2163</v>
      </c>
      <c r="B1086" s="6" t="s">
        <v>2164</v>
      </c>
      <c r="C1086" s="5" t="str">
        <f ca="1">IFERROR(__xludf.DUMMYFUNCTION("GOOGLETRANSLATE(B1086, ""tr"", ""en"" )"),"To come to use by losing its importance by losing its importance")</f>
        <v>To come to use by losing its importance by losing its importance</v>
      </c>
    </row>
    <row r="1087" spans="1:3" ht="14.25" customHeight="1" x14ac:dyDescent="0.3">
      <c r="A1087" s="3" t="s">
        <v>2165</v>
      </c>
      <c r="B1087" s="6" t="s">
        <v>2166</v>
      </c>
      <c r="C1087" s="5" t="str">
        <f ca="1">IFERROR(__xludf.DUMMYFUNCTION("GOOGLETRANSLATE(B1087, ""tr"", ""en"" )"),"Successfully exit from every attempt, to fuck every job")</f>
        <v>Successfully exit from every attempt, to fuck every job</v>
      </c>
    </row>
    <row r="1088" spans="1:3" ht="14.25" customHeight="1" x14ac:dyDescent="0.3">
      <c r="A1088" s="3" t="s">
        <v>2167</v>
      </c>
      <c r="B1088" s="6" t="s">
        <v>2168</v>
      </c>
      <c r="C1088" s="5" t="str">
        <f ca="1">IFERROR(__xludf.DUMMYFUNCTION("GOOGLETRANSLATE(B1088, ""tr"", ""en"" )"),"There is no one to trust, endure")</f>
        <v>There is no one to trust, endure</v>
      </c>
    </row>
    <row r="1089" spans="1:3" ht="14.25" customHeight="1" x14ac:dyDescent="0.3">
      <c r="A1089" s="3" t="s">
        <v>2169</v>
      </c>
      <c r="B1089" s="6" t="s">
        <v>2170</v>
      </c>
      <c r="C1089" s="5" t="str">
        <f ca="1">IFERROR(__xludf.DUMMYFUNCTION("GOOGLETRANSLATE(B1089, ""tr"", ""en"" )"),"To increase the pain of a sadness and the weight of a defect")</f>
        <v>To increase the pain of a sadness and the weight of a defect</v>
      </c>
    </row>
    <row r="1090" spans="1:3" ht="14.25" customHeight="1" x14ac:dyDescent="0.3">
      <c r="A1090" s="3" t="s">
        <v>2171</v>
      </c>
      <c r="B1090" s="6" t="s">
        <v>2172</v>
      </c>
      <c r="C1090" s="5" t="str">
        <f ca="1">IFERROR(__xludf.DUMMYFUNCTION("GOOGLETRANSLATE(B1090, ""tr"", ""en"" )"),"be shattered")</f>
        <v>be shattered</v>
      </c>
    </row>
    <row r="1091" spans="1:3" ht="14.25" customHeight="1" x14ac:dyDescent="0.3">
      <c r="A1091" s="3" t="s">
        <v>2173</v>
      </c>
      <c r="B1091" s="6" t="s">
        <v>2174</v>
      </c>
      <c r="C1091" s="5" t="str">
        <f ca="1">IFERROR(__xludf.DUMMYFUNCTION("GOOGLETRANSLATE(B1091, ""tr"", ""en"" )"),"To be achieved by spending a lot of money")</f>
        <v>To be achieved by spending a lot of money</v>
      </c>
    </row>
    <row r="1092" spans="1:3" ht="14.25" customHeight="1" x14ac:dyDescent="0.3">
      <c r="A1092" s="3" t="s">
        <v>2175</v>
      </c>
      <c r="B1092" s="6" t="s">
        <v>2176</v>
      </c>
      <c r="C1092" s="5" t="str">
        <f ca="1">IFERROR(__xludf.DUMMYFUNCTION("GOOGLETRANSLATE(B1092, ""tr"", ""en"" )"),"No problem, without any problems; Uncomfortable because of his earnings")</f>
        <v>No problem, without any problems; Uncomfortable because of his earnings</v>
      </c>
    </row>
    <row r="1093" spans="1:3" ht="14.25" customHeight="1" x14ac:dyDescent="0.3">
      <c r="A1093" s="3" t="s">
        <v>2177</v>
      </c>
      <c r="B1093" s="6" t="s">
        <v>2178</v>
      </c>
      <c r="C1093" s="5" t="str">
        <f ca="1">IFERROR(__xludf.DUMMYFUNCTION("GOOGLETRANSLATE(B1093, ""tr"", ""en"" )"),"To shrink the self by returning from his promise")</f>
        <v>To shrink the self by returning from his promise</v>
      </c>
    </row>
    <row r="1094" spans="1:3" ht="14.25" customHeight="1" x14ac:dyDescent="0.3">
      <c r="A1094" s="3" t="s">
        <v>2179</v>
      </c>
      <c r="B1094" s="6" t="s">
        <v>2180</v>
      </c>
      <c r="C1094" s="5" t="str">
        <f ca="1">IFERROR(__xludf.DUMMYFUNCTION("GOOGLETRANSLATE(B1094, ""tr"", ""en"" )"),"To reveal the behavior that someone will like, to say a word, to keep his side")</f>
        <v>To reveal the behavior that someone will like, to say a word, to keep his side</v>
      </c>
    </row>
    <row r="1095" spans="1:3" ht="14.25" customHeight="1" x14ac:dyDescent="0.3">
      <c r="A1095" s="3" t="s">
        <v>2181</v>
      </c>
      <c r="B1095" s="6" t="s">
        <v>2181</v>
      </c>
      <c r="C1095" s="5" t="str">
        <f ca="1">IFERROR(__xludf.DUMMYFUNCTION("GOOGLETRANSLATE(B1095, ""tr"", ""en"" )"),"Horripilation")</f>
        <v>Horripilation</v>
      </c>
    </row>
    <row r="1096" spans="1:3" ht="14.25" customHeight="1" x14ac:dyDescent="0.3">
      <c r="A1096" s="3" t="s">
        <v>2182</v>
      </c>
      <c r="B1096" s="6" t="s">
        <v>2183</v>
      </c>
      <c r="C1096" s="5" t="str">
        <f ca="1">IFERROR(__xludf.DUMMYFUNCTION("GOOGLETRANSLATE(B1096, ""tr"", ""en"" )"),"One of the things to be damaged, a word that is said to harm someone")</f>
        <v>One of the things to be damaged, a word that is said to harm someone</v>
      </c>
    </row>
    <row r="1097" spans="1:3" ht="14.25" customHeight="1" x14ac:dyDescent="0.3">
      <c r="A1097" s="3" t="s">
        <v>2184</v>
      </c>
      <c r="B1097" s="6" t="s">
        <v>2185</v>
      </c>
      <c r="C1097" s="5" t="str">
        <f ca="1">IFERROR(__xludf.DUMMYFUNCTION("GOOGLETRANSLATE(B1097, ""tr"", ""en"" )"),"Entering a dead end, missing the control")</f>
        <v>Entering a dead end, missing the control</v>
      </c>
    </row>
    <row r="1098" spans="1:3" ht="14.25" customHeight="1" x14ac:dyDescent="0.3">
      <c r="A1098" s="3" t="s">
        <v>2186</v>
      </c>
      <c r="B1098" s="6" t="s">
        <v>2187</v>
      </c>
      <c r="C1098" s="5" t="str">
        <f ca="1">IFERROR(__xludf.DUMMYFUNCTION("GOOGLETRANSLATE(B1098, ""tr"", ""en"" )"),"Not being able to predict where to start")</f>
        <v>Not being able to predict where to start</v>
      </c>
    </row>
    <row r="1099" spans="1:3" ht="14.25" customHeight="1" x14ac:dyDescent="0.3">
      <c r="A1099" s="3" t="s">
        <v>2188</v>
      </c>
      <c r="B1099" s="6" t="s">
        <v>2189</v>
      </c>
      <c r="C1099" s="5" t="str">
        <f ca="1">IFERROR(__xludf.DUMMYFUNCTION("GOOGLETRANSLATE(B1099, ""tr"", ""en"" )"),"Find a secret purpose in something")</f>
        <v>Find a secret purpose in something</v>
      </c>
    </row>
    <row r="1100" spans="1:3" ht="14.25" customHeight="1" x14ac:dyDescent="0.3">
      <c r="A1100" s="3" t="s">
        <v>2190</v>
      </c>
      <c r="B1100" s="6" t="s">
        <v>2191</v>
      </c>
      <c r="C1100" s="5" t="str">
        <f ca="1">IFERROR(__xludf.DUMMYFUNCTION("GOOGLETRANSLATE(B1100, ""tr"", ""en"" )"),"But enough to grow up")</f>
        <v>But enough to grow up</v>
      </c>
    </row>
    <row r="1101" spans="1:3" ht="14.25" customHeight="1" x14ac:dyDescent="0.3">
      <c r="A1101" s="3" t="s">
        <v>2192</v>
      </c>
      <c r="B1101" s="6" t="s">
        <v>2193</v>
      </c>
      <c r="C1101" s="5" t="str">
        <f ca="1">IFERROR(__xludf.DUMMYFUNCTION("GOOGLETRANSLATE(B1101, ""tr"", ""en"" )"),"To get out of the power and dangerous situation with less damage")</f>
        <v>To get out of the power and dangerous situation with less damage</v>
      </c>
    </row>
    <row r="1102" spans="1:3" ht="14.25" customHeight="1" x14ac:dyDescent="0.3">
      <c r="A1102" s="3" t="s">
        <v>2194</v>
      </c>
      <c r="B1102" s="6" t="s">
        <v>2195</v>
      </c>
      <c r="C1102" s="5" t="str">
        <f ca="1">IFERROR(__xludf.DUMMYFUNCTION("GOOGLETRANSLATE(B1102, ""tr"", ""en"" )"),"Being indebted to many people")</f>
        <v>Being indebted to many people</v>
      </c>
    </row>
    <row r="1103" spans="1:3" ht="14.25" customHeight="1" x14ac:dyDescent="0.3">
      <c r="A1103" s="3" t="s">
        <v>2196</v>
      </c>
      <c r="B1103" s="6" t="s">
        <v>2197</v>
      </c>
      <c r="C1103" s="5" t="str">
        <f ca="1">IFERROR(__xludf.DUMMYFUNCTION("GOOGLETRANSLATE(B1103, ""tr"", ""en"" )"),"To be in trouble and to resort to all kinds of remedies to get rid of this distress, to ask for help")</f>
        <v>To be in trouble and to resort to all kinds of remedies to get rid of this distress, to ask for help</v>
      </c>
    </row>
    <row r="1104" spans="1:3" ht="14.25" customHeight="1" x14ac:dyDescent="0.3">
      <c r="A1104" s="3" t="s">
        <v>2198</v>
      </c>
      <c r="B1104" s="6" t="s">
        <v>2199</v>
      </c>
      <c r="C1104" s="5" t="str">
        <f ca="1">IFERROR(__xludf.DUMMYFUNCTION("GOOGLETRANSLATE(B1104, ""tr"", ""en"" )"),"Very wide")</f>
        <v>Very wide</v>
      </c>
    </row>
    <row r="1105" spans="1:3" ht="14.25" customHeight="1" x14ac:dyDescent="0.3">
      <c r="A1105" s="3" t="s">
        <v>2200</v>
      </c>
      <c r="B1105" s="6" t="s">
        <v>2201</v>
      </c>
      <c r="C1105" s="5" t="str">
        <f ca="1">IFERROR(__xludf.DUMMYFUNCTION("GOOGLETRANSLATE(B1105, ""tr"", ""en"" )"),"Without knowing the original of something, thinking and weighing, without hesitation, talking openly")</f>
        <v>Without knowing the original of something, thinking and weighing, without hesitation, talking openly</v>
      </c>
    </row>
    <row r="1106" spans="1:3" ht="14.25" customHeight="1" x14ac:dyDescent="0.3">
      <c r="A1106" s="3" t="s">
        <v>2202</v>
      </c>
      <c r="B1106" s="6" t="s">
        <v>2203</v>
      </c>
      <c r="C1106" s="5" t="str">
        <f ca="1">IFERROR(__xludf.DUMMYFUNCTION("GOOGLETRANSLATE(B1106, ""tr"", ""en"" )"),"He did what he wanted to do in life, and during his rest of his life, he no longer has a significant job.")</f>
        <v>He did what he wanted to do in life, and during his rest of his life, he no longer has a significant job.</v>
      </c>
    </row>
    <row r="1107" spans="1:3" ht="14.25" customHeight="1" x14ac:dyDescent="0.3">
      <c r="A1107" s="3" t="s">
        <v>2204</v>
      </c>
      <c r="B1107" s="6" t="s">
        <v>2205</v>
      </c>
      <c r="C1107" s="5" t="str">
        <f ca="1">IFERROR(__xludf.DUMMYFUNCTION("GOOGLETRANSLATE(B1107, ""tr"", ""en"" )"),"To be very embarrassed, looking at anyone's face and looking for a place to hide")</f>
        <v>To be very embarrassed, looking at anyone's face and looking for a place to hide</v>
      </c>
    </row>
    <row r="1108" spans="1:3" ht="14.25" customHeight="1" x14ac:dyDescent="0.3">
      <c r="A1108" s="3" t="s">
        <v>2206</v>
      </c>
      <c r="B1108" s="6" t="s">
        <v>2207</v>
      </c>
      <c r="C1108" s="5" t="str">
        <f ca="1">IFERROR(__xludf.DUMMYFUNCTION("GOOGLETRANSLATE(B1108, ""tr"", ""en"" )"),"To come to sleep, to sleep to sleep")</f>
        <v>To come to sleep, to sleep to sleep</v>
      </c>
    </row>
    <row r="1109" spans="1:3" ht="14.25" customHeight="1" x14ac:dyDescent="0.3">
      <c r="A1109" s="3" t="s">
        <v>2208</v>
      </c>
      <c r="B1109" s="6" t="s">
        <v>2209</v>
      </c>
      <c r="C1109" s="5" t="str">
        <f ca="1">IFERROR(__xludf.DUMMYFUNCTION("GOOGLETRANSLATE(B1109, ""tr"", ""en"" )"),"To come asleep, to close the eyelids")</f>
        <v>To come asleep, to close the eyelids</v>
      </c>
    </row>
    <row r="1110" spans="1:3" ht="14.25" customHeight="1" x14ac:dyDescent="0.3">
      <c r="A1110" s="3" t="s">
        <v>2210</v>
      </c>
      <c r="B1110" s="6" t="s">
        <v>2211</v>
      </c>
      <c r="C1110" s="5" t="str">
        <f ca="1">IFERROR(__xludf.DUMMYFUNCTION("GOOGLETRANSLATE(B1110, ""tr"", ""en"" )"),"Not being able to sleep for any reason while he should sleep")</f>
        <v>Not being able to sleep for any reason while he should sleep</v>
      </c>
    </row>
    <row r="1111" spans="1:3" ht="14.25" customHeight="1" x14ac:dyDescent="0.3">
      <c r="A1111" s="3" t="s">
        <v>2212</v>
      </c>
      <c r="B1111" s="6" t="s">
        <v>2213</v>
      </c>
      <c r="C1111" s="5" t="str">
        <f ca="1">IFERROR(__xludf.DUMMYFUNCTION("GOOGLETRANSLATE(B1111, ""tr"", ""en"" )"),"To sleep as much as necessary")</f>
        <v>To sleep as much as necessary</v>
      </c>
    </row>
    <row r="1112" spans="1:3" ht="14.25" customHeight="1" x14ac:dyDescent="0.3">
      <c r="A1112" s="3" t="s">
        <v>2214</v>
      </c>
      <c r="B1112" s="6" t="s">
        <v>2215</v>
      </c>
      <c r="C1112" s="5" t="str">
        <f ca="1">IFERROR(__xludf.DUMMYFUNCTION("GOOGLETRANSLATE(B1112, ""tr"", ""en"" )"),"The one who loves sleep very much")</f>
        <v>The one who loves sleep very much</v>
      </c>
    </row>
    <row r="1113" spans="1:3" ht="14.25" customHeight="1" x14ac:dyDescent="0.3">
      <c r="A1113" s="3" t="s">
        <v>2216</v>
      </c>
      <c r="B1113" s="6" t="s">
        <v>2217</v>
      </c>
      <c r="C1113" s="5" t="str">
        <f ca="1">IFERROR(__xludf.DUMMYFUNCTION("GOOGLETRANSLATE(B1113, ""tr"", ""en"" )"),"Semi -sleepy")</f>
        <v>Semi -sleepy</v>
      </c>
    </row>
    <row r="1114" spans="1:3" ht="14.25" customHeight="1" x14ac:dyDescent="0.3">
      <c r="A1114" s="3" t="s">
        <v>2218</v>
      </c>
      <c r="B1114" s="6" t="s">
        <v>2219</v>
      </c>
      <c r="C1114" s="5" t="str">
        <f ca="1">IFERROR(__xludf.DUMMYFUNCTION("GOOGLETRANSLATE(B1114, ""tr"", ""en"" )"),"Extending the word, maintaining the discussion")</f>
        <v>Extending the word, maintaining the discussion</v>
      </c>
    </row>
    <row r="1115" spans="1:3" ht="14.25" customHeight="1" x14ac:dyDescent="0.3">
      <c r="A1115" s="3" t="s">
        <v>2220</v>
      </c>
      <c r="B1115" s="6" t="s">
        <v>2221</v>
      </c>
      <c r="C1115" s="5" t="str">
        <f ca="1">IFERROR(__xludf.DUMMYFUNCTION("GOOGLETRANSLATE(B1115, ""tr"", ""en"" )"),"Very detail, by going down to the finest points")</f>
        <v>Very detail, by going down to the finest points</v>
      </c>
    </row>
    <row r="1116" spans="1:3" ht="14.25" customHeight="1" x14ac:dyDescent="0.3">
      <c r="A1116" s="3" t="s">
        <v>2222</v>
      </c>
      <c r="B1116" s="6" t="s">
        <v>2223</v>
      </c>
      <c r="C1116" s="5" t="str">
        <f ca="1">IFERROR(__xludf.DUMMYFUNCTION("GOOGLETRANSLATE(B1116, ""tr"", ""en"" )"),"With a small difference, less or less missing, approximately")</f>
        <v>With a small difference, less or less missing, approximately</v>
      </c>
    </row>
    <row r="1117" spans="1:3" ht="14.25" customHeight="1" x14ac:dyDescent="0.3">
      <c r="A1117" s="3" t="s">
        <v>2224</v>
      </c>
      <c r="B1117" s="6" t="s">
        <v>2225</v>
      </c>
      <c r="C1117" s="5" t="str">
        <f ca="1">IFERROR(__xludf.DUMMYFUNCTION("GOOGLETRANSLATE(B1117, ""tr"", ""en"" )"),"To be very scared, to be in fear, to be afraid of an unwanted situation")</f>
        <v>To be very scared, to be in fear, to be afraid of an unwanted situation</v>
      </c>
    </row>
    <row r="1118" spans="1:3" ht="14.25" customHeight="1" x14ac:dyDescent="0.3">
      <c r="A1118" s="3" t="s">
        <v>2226</v>
      </c>
      <c r="B1118" s="6" t="s">
        <v>2227</v>
      </c>
      <c r="C1118" s="5" t="str">
        <f ca="1">IFERROR(__xludf.DUMMYFUNCTION("GOOGLETRANSLATE(B1118, ""tr"", ""en"" )"),"not to wait for it, to understand that you cannot meet")</f>
        <v>not to wait for it, to understand that you cannot meet</v>
      </c>
    </row>
    <row r="1119" spans="1:3" ht="14.25" customHeight="1" x14ac:dyDescent="0.3">
      <c r="A1119" s="3" t="s">
        <v>2228</v>
      </c>
      <c r="B1119" s="6" t="s">
        <v>2229</v>
      </c>
      <c r="C1119" s="5" t="str">
        <f ca="1">IFERROR(__xludf.DUMMYFUNCTION("GOOGLETRANSLATE(B1119, ""tr"", ""en"" )"),"Believing that it will not be realized or not")</f>
        <v>Believing that it will not be realized or not</v>
      </c>
    </row>
    <row r="1120" spans="1:3" ht="14.25" customHeight="1" x14ac:dyDescent="0.3">
      <c r="A1120" s="3" t="s">
        <v>2230</v>
      </c>
      <c r="B1120" s="6" t="s">
        <v>2231</v>
      </c>
      <c r="C1120" s="5" t="str">
        <f ca="1">IFERROR(__xludf.DUMMYFUNCTION("GOOGLETRANSLATE(B1120, ""tr"", ""en"" )"),"Disagreement, clothing")</f>
        <v>Disagreement, clothing</v>
      </c>
    </row>
    <row r="1121" spans="1:3" ht="14.25" customHeight="1" x14ac:dyDescent="0.3">
      <c r="A1121" s="3" t="s">
        <v>2232</v>
      </c>
      <c r="B1121" s="6" t="s">
        <v>2233</v>
      </c>
      <c r="C1121" s="5" t="str">
        <f ca="1">IFERROR(__xludf.DUMMYFUNCTION("GOOGLETRANSLATE(B1121, ""tr"", ""en"" )"),"To say that he is guilty of being guilty and blaming the other person")</f>
        <v>To say that he is guilty of being guilty and blaming the other person</v>
      </c>
    </row>
    <row r="1122" spans="1:3" ht="14.25" customHeight="1" x14ac:dyDescent="0.3">
      <c r="A1122" s="3" t="s">
        <v>2234</v>
      </c>
      <c r="B1122" s="6" t="s">
        <v>2235</v>
      </c>
      <c r="C1122" s="5" t="str">
        <f ca="1">IFERROR(__xludf.DUMMYFUNCTION("GOOGLETRANSLATE(B1122, ""tr"", ""en"" )"),"Fucking, doing the job he takes, doing")</f>
        <v>Fucking, doing the job he takes, doing</v>
      </c>
    </row>
    <row r="1123" spans="1:3" ht="14.25" customHeight="1" x14ac:dyDescent="0.3">
      <c r="A1123" s="3" t="s">
        <v>2236</v>
      </c>
      <c r="B1123" s="6" t="s">
        <v>2237</v>
      </c>
      <c r="C1123" s="5" t="str">
        <f ca="1">IFERROR(__xludf.DUMMYFUNCTION("GOOGLETRANSLATE(B1123, ""tr"", ""en"" )"),"Superior")</f>
        <v>Superior</v>
      </c>
    </row>
    <row r="1124" spans="1:3" ht="14.25" customHeight="1" x14ac:dyDescent="0.3">
      <c r="A1124" s="3" t="s">
        <v>2238</v>
      </c>
      <c r="B1124" s="6" t="s">
        <v>2239</v>
      </c>
      <c r="C1124" s="5" t="str">
        <f ca="1">IFERROR(__xludf.DUMMYFUNCTION("GOOGLETRANSLATE(B1124, ""tr"", ""en"" )"),"To be very old and to be in a miserable situation")</f>
        <v>To be very old and to be in a miserable situation</v>
      </c>
    </row>
    <row r="1125" spans="1:3" ht="14.25" customHeight="1" x14ac:dyDescent="0.3">
      <c r="A1125" s="3" t="s">
        <v>2240</v>
      </c>
      <c r="B1125" s="6" t="s">
        <v>2241</v>
      </c>
      <c r="C1125" s="5" t="str">
        <f ca="1">IFERROR(__xludf.DUMMYFUNCTION("GOOGLETRANSLATE(B1125, ""tr"", ""en"" )"),"Speaking and leaving the listener without using clear, definite expressions")</f>
        <v>Speaking and leaving the listener without using clear, definite expressions</v>
      </c>
    </row>
    <row r="1126" spans="1:3" ht="14.25" customHeight="1" x14ac:dyDescent="0.3">
      <c r="A1126" s="3" t="s">
        <v>2242</v>
      </c>
      <c r="B1126" s="6" t="s">
        <v>2243</v>
      </c>
      <c r="C1126" s="5" t="str">
        <f ca="1">IFERROR(__xludf.DUMMYFUNCTION("GOOGLETRANSLATE(B1126, ""tr"", ""en"" )"),"To give importance to a job, to take care of that job closely, to deal with")</f>
        <v>To give importance to a job, to take care of that job closely, to deal with</v>
      </c>
    </row>
    <row r="1127" spans="1:3" ht="14.25" customHeight="1" x14ac:dyDescent="0.3">
      <c r="A1127" s="3" t="s">
        <v>2244</v>
      </c>
      <c r="B1127" s="6" t="s">
        <v>2245</v>
      </c>
      <c r="C1127" s="5" t="str">
        <f ca="1">IFERROR(__xludf.DUMMYFUNCTION("GOOGLETRANSLATE(B1127, ""tr"", ""en"" )"),"To be taken, to be worried that a movement was made against him")</f>
        <v>To be taken, to be worried that a movement was made against him</v>
      </c>
    </row>
    <row r="1128" spans="1:3" ht="14.25" customHeight="1" x14ac:dyDescent="0.3">
      <c r="A1128" s="3" t="s">
        <v>2246</v>
      </c>
      <c r="B1128" s="6" t="s">
        <v>2247</v>
      </c>
      <c r="C1128" s="5" t="str">
        <f ca="1">IFERROR(__xludf.DUMMYFUNCTION("GOOGLETRANSLATE(B1128, ""tr"", ""en"" )"),"Uploading a crime he makes to someone")</f>
        <v>Uploading a crime he makes to someone</v>
      </c>
    </row>
    <row r="1129" spans="1:3" ht="14.25" customHeight="1" x14ac:dyDescent="0.3">
      <c r="A1129" s="3" t="s">
        <v>2248</v>
      </c>
      <c r="B1129" s="6" t="s">
        <v>2249</v>
      </c>
      <c r="C1129" s="5" t="str">
        <f ca="1">IFERROR(__xludf.DUMMYFUNCTION("GOOGLETRANSLATE(B1129, ""tr"", ""en"" )"),"Expressing an idea")</f>
        <v>Expressing an idea</v>
      </c>
    </row>
    <row r="1130" spans="1:3" ht="14.25" customHeight="1" x14ac:dyDescent="0.3">
      <c r="A1130" s="3" t="s">
        <v>2250</v>
      </c>
      <c r="B1130" s="6" t="s">
        <v>2251</v>
      </c>
      <c r="C1130" s="5" t="str">
        <f ca="1">IFERROR(__xludf.DUMMYFUNCTION("GOOGLETRANSLATE(B1130, ""tr"", ""en"" )"),"Cutting your hope from that job, not to believe that it will happen, to stop taking your money or property")</f>
        <v>Cutting your hope from that job, not to believe that it will happen, to stop taking your money or property</v>
      </c>
    </row>
    <row r="1131" spans="1:3" ht="14.25" customHeight="1" x14ac:dyDescent="0.3">
      <c r="A1131" s="3" t="s">
        <v>2252</v>
      </c>
      <c r="B1131" s="6" t="s">
        <v>2253</v>
      </c>
      <c r="C1131" s="5" t="str">
        <f ca="1">IFERROR(__xludf.DUMMYFUNCTION("GOOGLETRANSLATE(B1131, ""tr"", ""en"" )"),"Wanting to do something by force")</f>
        <v>Wanting to do something by force</v>
      </c>
    </row>
    <row r="1132" spans="1:3" ht="14.25" customHeight="1" x14ac:dyDescent="0.3">
      <c r="A1132" s="3" t="s">
        <v>2254</v>
      </c>
      <c r="B1132" s="6" t="s">
        <v>2255</v>
      </c>
      <c r="C1132" s="5" t="str">
        <f ca="1">IFERROR(__xludf.DUMMYFUNCTION("GOOGLETRANSLATE(B1132, ""tr"", ""en"" )"),"To put a crime he committed on to someone else")</f>
        <v>To put a crime he committed on to someone else</v>
      </c>
    </row>
    <row r="1133" spans="1:3" ht="14.25" customHeight="1" x14ac:dyDescent="0.3">
      <c r="A1133" s="3" t="s">
        <v>2256</v>
      </c>
      <c r="B1133" s="6" t="s">
        <v>2257</v>
      </c>
      <c r="C1133" s="5" t="str">
        <f ca="1">IFERROR(__xludf.DUMMYFUNCTION("GOOGLETRANSLATE(B1133, ""tr"", ""en"" )"),"Too much love, to take care; to be careful")</f>
        <v>Too much love, to take care; to be careful</v>
      </c>
    </row>
    <row r="1134" spans="1:3" ht="14.25" customHeight="1" x14ac:dyDescent="0.3">
      <c r="A1134" s="3" t="s">
        <v>2258</v>
      </c>
      <c r="B1134" s="6" t="s">
        <v>2259</v>
      </c>
      <c r="C1134" s="5" t="str">
        <f ca="1">IFERROR(__xludf.DUMMYFUNCTION("GOOGLETRANSLATE(B1134, ""tr"", ""en"" )"),"More than a limit to be very sad")</f>
        <v>More than a limit to be very sad</v>
      </c>
    </row>
    <row r="1135" spans="1:3" ht="14.25" customHeight="1" x14ac:dyDescent="0.3">
      <c r="A1135" s="3" t="s">
        <v>2260</v>
      </c>
      <c r="B1135" s="6" t="s">
        <v>2261</v>
      </c>
      <c r="C1135" s="5" t="str">
        <f ca="1">IFERROR(__xludf.DUMMYFUNCTION("GOOGLETRANSLATE(B1135, ""tr"", ""en"" )"),"To end the life, to come to the time, to die")</f>
        <v>To end the life, to come to the time, to die</v>
      </c>
    </row>
    <row r="1136" spans="1:3" ht="14.25" customHeight="1" x14ac:dyDescent="0.3">
      <c r="A1136" s="3" t="s">
        <v>2262</v>
      </c>
      <c r="B1136" s="6" t="s">
        <v>2263</v>
      </c>
      <c r="C1136" s="5" t="str">
        <f ca="1">IFERROR(__xludf.DUMMYFUNCTION("GOOGLETRANSLATE(B1136, ""tr"", ""en"" )"),"At a random time, randomly, without a suitable time.")</f>
        <v>At a random time, randomly, without a suitable time.</v>
      </c>
    </row>
    <row r="1137" spans="1:3" ht="14.25" customHeight="1" x14ac:dyDescent="0.3">
      <c r="A1137" s="3" t="s">
        <v>2264</v>
      </c>
      <c r="B1137" s="6" t="s">
        <v>2265</v>
      </c>
      <c r="C1137" s="5" t="str">
        <f ca="1">IFERROR(__xludf.DUMMYFUNCTION("GOOGLETRANSLATE(B1137, ""tr"", ""en"" )"),"To spend your time in vain")</f>
        <v>To spend your time in vain</v>
      </c>
    </row>
    <row r="1138" spans="1:3" ht="14.25" customHeight="1" x14ac:dyDescent="0.3">
      <c r="A1138" s="3" t="s">
        <v>2266</v>
      </c>
      <c r="B1138" s="6" t="s">
        <v>2267</v>
      </c>
      <c r="C1138" s="5" t="str">
        <f ca="1">IFERROR(__xludf.DUMMYFUNCTION("GOOGLETRANSLATE(B1138, ""tr"", ""en"" )"),"Right on time")</f>
        <v>Right on time</v>
      </c>
    </row>
    <row r="1139" spans="1:3" ht="14.25" customHeight="1" x14ac:dyDescent="0.3">
      <c r="A1139" s="3" t="s">
        <v>2268</v>
      </c>
      <c r="B1139" s="6" t="s">
        <v>2269</v>
      </c>
      <c r="C1139" s="5" t="str">
        <f ca="1">IFERROR(__xludf.DUMMYFUNCTION("GOOGLETRANSLATE(B1139, ""tr"", ""en"" )"),"To be involved in everything, whether you need it,")</f>
        <v>To be involved in everything, whether you need it,</v>
      </c>
    </row>
    <row r="1140" spans="1:3" ht="14.25" customHeight="1" x14ac:dyDescent="0.3">
      <c r="A1140" s="3" t="s">
        <v>2270</v>
      </c>
      <c r="B1140" s="6" t="s">
        <v>2271</v>
      </c>
      <c r="C1140" s="5" t="str">
        <f ca="1">IFERROR(__xludf.DUMMYFUNCTION("GOOGLETRANSLATE(B1140, ""tr"", ""en"" )"),"Not being able to benefit from them even though they have every opportunity, falling into trouble")</f>
        <v>Not being able to benefit from them even though they have every opportunity, falling into trouble</v>
      </c>
    </row>
    <row r="1141" spans="1:3" ht="14.25" customHeight="1" x14ac:dyDescent="0.3">
      <c r="A1141" s="3" t="s">
        <v>2272</v>
      </c>
      <c r="B1141" s="6" t="s">
        <v>2273</v>
      </c>
      <c r="C1141" s="5" t="str">
        <f ca="1">IFERROR(__xludf.DUMMYFUNCTION("GOOGLETRANSLATE(B1141, ""tr"", ""en"" )"),"To load the sin of a job")</f>
        <v>To load the sin of a job</v>
      </c>
    </row>
    <row r="1142" spans="1:3" ht="14.25" customHeight="1" x14ac:dyDescent="0.3">
      <c r="A1142" s="3" t="s">
        <v>2274</v>
      </c>
      <c r="B1142" s="6" t="s">
        <v>2275</v>
      </c>
      <c r="C1142" s="5" t="str">
        <f ca="1">IFERROR(__xludf.DUMMYFUNCTION("GOOGLETRANSLATE(B1142, ""tr"", ""en"" )"),"Unnecessary excitement, anxiety")</f>
        <v>Unnecessary excitement, anxiety</v>
      </c>
    </row>
    <row r="1143" spans="1:3" ht="14.25" customHeight="1" x14ac:dyDescent="0.3">
      <c r="A1143" s="3" t="s">
        <v>2276</v>
      </c>
      <c r="B1143" s="6" t="s">
        <v>2277</v>
      </c>
      <c r="C1143" s="5" t="str">
        <f ca="1">IFERROR(__xludf.DUMMYFUNCTION("GOOGLETRANSLATE(B1143, ""tr"", ""en"" )"),"Say heavy words, whatever comes to your mouth")</f>
        <v>Say heavy words, whatever comes to your mouth</v>
      </c>
    </row>
    <row r="1144" spans="1:3" ht="14.25" customHeight="1" x14ac:dyDescent="0.3">
      <c r="A1144" s="3" t="s">
        <v>2278</v>
      </c>
      <c r="B1144" s="6" t="s">
        <v>2279</v>
      </c>
      <c r="C1144" s="5" t="str">
        <f ca="1">IFERROR(__xludf.DUMMYFUNCTION("GOOGLETRANSLATE(B1144, ""tr"", ""en"" )"),"Talking, saying that he has criticized almost everything, to disturb those around him")</f>
        <v>Talking, saying that he has criticized almost everything, to disturb those around him</v>
      </c>
    </row>
    <row r="1145" spans="1:3" ht="14.25" customHeight="1" x14ac:dyDescent="0.3">
      <c r="A1145" s="3" t="s">
        <v>2280</v>
      </c>
      <c r="B1145" s="6" t="s">
        <v>2281</v>
      </c>
      <c r="C1145" s="5" t="str">
        <f ca="1">IFERROR(__xludf.DUMMYFUNCTION("GOOGLETRANSLATE(B1145, ""tr"", ""en"" )"),"Not to care at all, not to mind")</f>
        <v>Not to care at all, not to mind</v>
      </c>
    </row>
    <row r="1146" spans="1:3" ht="14.25" customHeight="1" x14ac:dyDescent="0.3">
      <c r="A1146" s="3" t="s">
        <v>2282</v>
      </c>
      <c r="B1146" s="6" t="s">
        <v>2283</v>
      </c>
      <c r="C1146" s="5" t="str">
        <f ca="1">IFERROR(__xludf.DUMMYFUNCTION("GOOGLETRANSLATE(B1146, ""tr"", ""en"" )"),"Burning and demolishing, to ruin, to ruin")</f>
        <v>Burning and demolishing, to ruin, to ruin</v>
      </c>
    </row>
    <row r="1147" spans="1:3" ht="14.25" customHeight="1" x14ac:dyDescent="0.3">
      <c r="A1147" s="3" t="s">
        <v>2284</v>
      </c>
      <c r="B1147" s="6" t="s">
        <v>2285</v>
      </c>
      <c r="C1147" s="5" t="str">
        <f ca="1">IFERROR(__xludf.DUMMYFUNCTION("GOOGLETRANSLATE(B1147, ""tr"", ""en"" )"),"hitting")</f>
        <v>hitting</v>
      </c>
    </row>
    <row r="1148" spans="1:3" ht="14.25" customHeight="1" x14ac:dyDescent="0.3">
      <c r="A1148" s="3" t="s">
        <v>2286</v>
      </c>
      <c r="B1148" s="6" t="s">
        <v>2287</v>
      </c>
      <c r="C1148" s="5" t="str">
        <f ca="1">IFERROR(__xludf.DUMMYFUNCTION("GOOGLETRANSLATE(B1148, ""tr"", ""en"" )"),"Unconcerned, ignored, insensitive and indifferent")</f>
        <v>Unconcerned, ignored, insensitive and indifferent</v>
      </c>
    </row>
    <row r="1149" spans="1:3" ht="14.25" customHeight="1" x14ac:dyDescent="0.3">
      <c r="A1149" s="3" t="s">
        <v>2288</v>
      </c>
      <c r="B1149" s="6" t="s">
        <v>2289</v>
      </c>
      <c r="C1149" s="5" t="str">
        <f ca="1">IFERROR(__xludf.DUMMYFUNCTION("GOOGLETRANSLATE(B1149, ""tr"", ""en"" )"),"Excessive pleasure and entertainment; Anyone who is fond of extreme pleasure and entertainment spends on this path")</f>
        <v>Excessive pleasure and entertainment; Anyone who is fond of extreme pleasure and entertainment spends on this path</v>
      </c>
    </row>
    <row r="1150" spans="1:3" ht="14.25" customHeight="1" x14ac:dyDescent="0.3">
      <c r="A1150" s="3" t="s">
        <v>2290</v>
      </c>
      <c r="B1150" s="6" t="s">
        <v>2291</v>
      </c>
      <c r="C1150" s="5" t="str">
        <f ca="1">IFERROR(__xludf.DUMMYFUNCTION("GOOGLETRANSLATE(B1150, ""tr"", ""en"" )"),"Equipped with very effective weapons, specially educated military unit")</f>
        <v>Equipped with very effective weapons, specially educated military unit</v>
      </c>
    </row>
    <row r="1151" spans="1:3" ht="14.25" customHeight="1" x14ac:dyDescent="0.3">
      <c r="A1151" s="3" t="s">
        <v>2292</v>
      </c>
      <c r="B1151" s="6" t="s">
        <v>2293</v>
      </c>
      <c r="C1151" s="5" t="str">
        <f ca="1">IFERROR(__xludf.DUMMYFUNCTION("GOOGLETRANSLATE(B1151, ""tr"", ""en"" )"),"To create, create, create")</f>
        <v>To create, create, create</v>
      </c>
    </row>
    <row r="1152" spans="1:3" ht="14.25" customHeight="1" x14ac:dyDescent="0.3">
      <c r="A1152" s="3" t="s">
        <v>2294</v>
      </c>
      <c r="B1152" s="6" t="s">
        <v>2295</v>
      </c>
      <c r="C1152" s="5" t="str">
        <f ca="1">IFERROR(__xludf.DUMMYFUNCTION("GOOGLETRANSLATE(B1152, ""tr"", ""en"" )"),"Not to give importance, not to consider or take into account, not to emphasize")</f>
        <v>Not to give importance, not to consider or take into account, not to emphasize</v>
      </c>
    </row>
    <row r="1153" spans="1:3" ht="14.25" customHeight="1" x14ac:dyDescent="0.3">
      <c r="A1153" s="3" t="s">
        <v>2296</v>
      </c>
      <c r="B1153" s="6" t="s">
        <v>2297</v>
      </c>
      <c r="C1153" s="5" t="str">
        <f ca="1">IFERROR(__xludf.DUMMYFUNCTION("GOOGLETRANSLATE(B1153, ""tr"", ""en"" )"),"To be influenced by the difficulties arising from being a stranger in a business or environment")</f>
        <v>To be influenced by the difficulties arising from being a stranger in a business or environment</v>
      </c>
    </row>
    <row r="1154" spans="1:3" ht="14.25" customHeight="1" x14ac:dyDescent="0.3">
      <c r="A1154" s="3" t="s">
        <v>2298</v>
      </c>
      <c r="B1154" s="6" t="s">
        <v>2299</v>
      </c>
      <c r="C1154" s="5" t="str">
        <f ca="1">IFERROR(__xludf.DUMMYFUNCTION("GOOGLETRANSLATE(B1154, ""tr"", ""en"" )"),"You have to do this job, there is no other way, otherwise you can't stay here")</f>
        <v>You have to do this job, there is no other way, otherwise you can't stay here</v>
      </c>
    </row>
    <row r="1155" spans="1:3" ht="14.25" customHeight="1" x14ac:dyDescent="0.3">
      <c r="A1155" s="3" t="s">
        <v>2300</v>
      </c>
      <c r="B1155" s="6" t="s">
        <v>2301</v>
      </c>
      <c r="C1155" s="5" t="str">
        <f ca="1">IFERROR(__xludf.DUMMYFUNCTION("GOOGLETRANSLATE(B1155, ""tr"", ""en"" )"),"The work I have undertaken will either bring me to a great being and position, or to ruin, sink me")</f>
        <v>The work I have undertaken will either bring me to a great being and position, or to ruin, sink me</v>
      </c>
    </row>
    <row r="1156" spans="1:3" ht="14.25" customHeight="1" x14ac:dyDescent="0.3">
      <c r="A1156" s="3" t="s">
        <v>2302</v>
      </c>
      <c r="B1156" s="6" t="s">
        <v>2303</v>
      </c>
      <c r="C1156" s="5" t="str">
        <f ca="1">IFERROR(__xludf.DUMMYFUNCTION("GOOGLETRANSLATE(B1156, ""tr"", ""en"" )"),"Donging, praising, pocketing")</f>
        <v>Donging, praising, pocketing</v>
      </c>
    </row>
    <row r="1157" spans="1:3" ht="14.25" customHeight="1" x14ac:dyDescent="0.3">
      <c r="A1157" s="3" t="s">
        <v>2304</v>
      </c>
      <c r="B1157" s="6" t="s">
        <v>2305</v>
      </c>
      <c r="C1157" s="5" t="str">
        <f ca="1">IFERROR(__xludf.DUMMYFUNCTION("GOOGLETRANSLATE(B1157, ""tr"", ""en"" )"),"To be very good, intimate, sincere")</f>
        <v>To be very good, intimate, sincere</v>
      </c>
    </row>
    <row r="1158" spans="1:3" ht="14.25" customHeight="1" x14ac:dyDescent="0.3">
      <c r="A1158" s="3" t="s">
        <v>2306</v>
      </c>
      <c r="B1158" s="6" t="s">
        <v>2307</v>
      </c>
      <c r="C1158" s="5" t="str">
        <f ca="1">IFERROR(__xludf.DUMMYFUNCTION("GOOGLETRANSLATE(B1158, ""tr"", ""en"" )"),"The person, organization, family or place that provides abundant earnings to the people he runs")</f>
        <v>The person, organization, family or place that provides abundant earnings to the people he runs</v>
      </c>
    </row>
    <row r="1159" spans="1:3" ht="14.25" customHeight="1" x14ac:dyDescent="0.3">
      <c r="A1159" s="3" t="s">
        <v>2308</v>
      </c>
      <c r="B1159" s="6" t="s">
        <v>2309</v>
      </c>
      <c r="C1159" s="5" t="str">
        <f ca="1">IFERROR(__xludf.DUMMYFUNCTION("GOOGLETRANSLATE(B1159, ""tr"", ""en"" )"),"To encounter worse while escaping from a danger, a difficult situation")</f>
        <v>To encounter worse while escaping from a danger, a difficult situation</v>
      </c>
    </row>
    <row r="1160" spans="1:3" ht="14.25" customHeight="1" x14ac:dyDescent="0.3">
      <c r="A1160" s="3" t="s">
        <v>2310</v>
      </c>
      <c r="B1160" s="6" t="s">
        <v>2311</v>
      </c>
      <c r="C1160" s="5" t="str">
        <f ca="1">IFERROR(__xludf.DUMMYFUNCTION("GOOGLETRANSLATE(B1160, ""tr"", ""en"" )"),"To take advantage of it and make money or goods when there is the opportunity to win")</f>
        <v>To take advantage of it and make money or goods when there is the opportunity to win</v>
      </c>
    </row>
    <row r="1161" spans="1:3" ht="14.25" customHeight="1" x14ac:dyDescent="0.3">
      <c r="A1161" s="3" t="s">
        <v>2312</v>
      </c>
      <c r="B1161" s="6" t="s">
        <v>2313</v>
      </c>
      <c r="C1161" s="5" t="str">
        <f ca="1">IFERROR(__xludf.DUMMYFUNCTION("GOOGLETRANSLATE(B1161, ""tr"", ""en"" )"),"Save away, throw away")</f>
        <v>Save away, throw away</v>
      </c>
    </row>
    <row r="1162" spans="1:3" ht="14.25" customHeight="1" x14ac:dyDescent="0.3">
      <c r="A1162" s="3" t="s">
        <v>2314</v>
      </c>
      <c r="B1162" s="6" t="s">
        <v>2315</v>
      </c>
      <c r="C1162" s="5" t="str">
        <f ca="1">IFERROR(__xludf.DUMMYFUNCTION("GOOGLETRANSLATE(B1162, ""tr"", ""en"" )"),"Without listening to any objection, using force")</f>
        <v>Without listening to any objection, using force</v>
      </c>
    </row>
    <row r="1163" spans="1:3" ht="14.25" customHeight="1" x14ac:dyDescent="0.3">
      <c r="A1163" s="3" t="s">
        <v>2316</v>
      </c>
      <c r="B1163" s="6" t="s">
        <v>2317</v>
      </c>
      <c r="C1163" s="5" t="str">
        <f ca="1">IFERROR(__xludf.DUMMYFUNCTION("GOOGLETRANSLATE(B1163, ""tr"", ""en"" )"),"Whether to ask for an account or to ask for something")</f>
        <v>Whether to ask for an account or to ask for something</v>
      </c>
    </row>
    <row r="1164" spans="1:3" ht="14.25" customHeight="1" x14ac:dyDescent="0.3">
      <c r="A1164" s="3" t="s">
        <v>2318</v>
      </c>
      <c r="B1164" s="6" t="s">
        <v>2319</v>
      </c>
      <c r="C1164" s="5" t="str">
        <f ca="1">IFERROR(__xludf.DUMMYFUNCTION("GOOGLETRANSLATE(B1164, ""tr"", ""en"" )"),"Falling on top of it, insisting, not leaving")</f>
        <v>Falling on top of it, insisting, not leaving</v>
      </c>
    </row>
    <row r="1165" spans="1:3" ht="14.25" customHeight="1" x14ac:dyDescent="0.3">
      <c r="A1165" s="3" t="s">
        <v>2320</v>
      </c>
      <c r="B1165" s="6" t="s">
        <v>2321</v>
      </c>
      <c r="C1165" s="5" t="str">
        <f ca="1">IFERROR(__xludf.DUMMYFUNCTION("GOOGLETRANSLATE(B1165, ""tr"", ""en"" )"),"Not being able to save himself from the influence of something, to be attached to him")</f>
        <v>Not being able to save himself from the influence of something, to be attached to him</v>
      </c>
    </row>
    <row r="1166" spans="1:3" ht="14.25" customHeight="1" x14ac:dyDescent="0.3">
      <c r="A1166" s="3" t="s">
        <v>2322</v>
      </c>
      <c r="B1166" s="6" t="s">
        <v>2323</v>
      </c>
      <c r="C1166" s="5" t="str">
        <f ca="1">IFERROR(__xludf.DUMMYFUNCTION("GOOGLETRANSLATE(B1166, ""tr"", ""en"" )"),"Get tired; to indicate that a job, situation, place, or nobody is uneasy of their negative aspects")</f>
        <v>Get tired; to indicate that a job, situation, place, or nobody is uneasy of their negative aspects</v>
      </c>
    </row>
    <row r="1167" spans="1:3" ht="14.25" customHeight="1" x14ac:dyDescent="0.3">
      <c r="A1167" s="3" t="s">
        <v>2324</v>
      </c>
      <c r="B1167" s="6" t="s">
        <v>2325</v>
      </c>
      <c r="C1167" s="5" t="str">
        <f ca="1">IFERROR(__xludf.DUMMYFUNCTION("GOOGLETRANSLATE(B1167, ""tr"", ""en"" )"),"To be caught, to get captured by not being able to escape")</f>
        <v>To be caught, to get captured by not being able to escape</v>
      </c>
    </row>
    <row r="1168" spans="1:3" ht="14.25" customHeight="1" x14ac:dyDescent="0.3">
      <c r="A1168" s="3" t="s">
        <v>2326</v>
      </c>
      <c r="B1168" s="6" t="s">
        <v>2327</v>
      </c>
      <c r="C1168" s="5" t="str">
        <f ca="1">IFERROR(__xludf.DUMMYFUNCTION("GOOGLETRANSLATE(B1168, ""tr"", ""en"" )"),"Getting rid of a job or anyone while unexpected, escape")</f>
        <v>Getting rid of a job or anyone while unexpected, escape</v>
      </c>
    </row>
    <row r="1169" spans="1:3" ht="14.25" customHeight="1" x14ac:dyDescent="0.3">
      <c r="A1169" s="3" t="s">
        <v>2328</v>
      </c>
      <c r="B1169" s="6" t="s">
        <v>2329</v>
      </c>
      <c r="C1169" s="5" t="str">
        <f ca="1">IFERROR(__xludf.DUMMYFUNCTION("GOOGLETRANSLATE(B1169, ""tr"", ""en"" )"),"Not to be in place, not to be appropriate, not to use")</f>
        <v>Not to be in place, not to be appropriate, not to use</v>
      </c>
    </row>
    <row r="1170" spans="1:3" ht="14.25" customHeight="1" x14ac:dyDescent="0.3">
      <c r="A1170" s="3" t="s">
        <v>2330</v>
      </c>
      <c r="B1170" s="6" t="s">
        <v>2331</v>
      </c>
      <c r="C1170" s="5" t="str">
        <f ca="1">IFERROR(__xludf.DUMMYFUNCTION("GOOGLETRANSLATE(B1170, ""tr"", ""en"" )"),"To be unknown to the unknown, unbelievable words from someone else to say")</f>
        <v>To be unknown to the unknown, unbelievable words from someone else to say</v>
      </c>
    </row>
    <row r="1171" spans="1:3" ht="14.25" customHeight="1" x14ac:dyDescent="0.3">
      <c r="A1171" s="3" t="s">
        <v>2332</v>
      </c>
      <c r="B1171" s="6" t="s">
        <v>2333</v>
      </c>
      <c r="C1171" s="5" t="str">
        <f ca="1">IFERROR(__xludf.DUMMYFUNCTION("GOOGLETRANSLATE(B1171, ""tr"", ""en"" )"),"Cheating, order, trick, corrupt behavior")</f>
        <v>Cheating, order, trick, corrupt behavior</v>
      </c>
    </row>
    <row r="1172" spans="1:3" ht="14.25" customHeight="1" x14ac:dyDescent="0.3">
      <c r="A1172" s="3" t="s">
        <v>2334</v>
      </c>
      <c r="B1172" s="6" t="s">
        <v>2335</v>
      </c>
      <c r="C1172" s="5" t="str">
        <f ca="1">IFERROR(__xludf.DUMMYFUNCTION("GOOGLETRANSLATE(B1172, ""tr"", ""en"" )"),"Looking hostile in bad faith")</f>
        <v>Looking hostile in bad faith</v>
      </c>
    </row>
    <row r="1173" spans="1:3" ht="14.25" customHeight="1" x14ac:dyDescent="0.3">
      <c r="A1173" s="3" t="s">
        <v>2336</v>
      </c>
      <c r="B1173" s="6" t="s">
        <v>2337</v>
      </c>
      <c r="C1173" s="5" t="str">
        <f ca="1">IFERROR(__xludf.DUMMYFUNCTION("GOOGLETRANSLATE(B1173, ""tr"", ""en"" )"),"Avoid a task imposed on him")</f>
        <v>Avoid a task imposed on him</v>
      </c>
    </row>
    <row r="1174" spans="1:3" ht="14.25" customHeight="1" x14ac:dyDescent="0.3">
      <c r="A1174" s="3" t="s">
        <v>2338</v>
      </c>
      <c r="B1174" s="6" t="s">
        <v>2339</v>
      </c>
      <c r="C1174" s="5" t="str">
        <f ca="1">IFERROR(__xludf.DUMMYFUNCTION("GOOGLETRANSLATE(B1174, ""tr"", ""en"" )"),"Not to do the work to do, to look at your comfort, to live in the arbitrary")</f>
        <v>Not to do the work to do, to look at your comfort, to live in the arbitrary</v>
      </c>
    </row>
    <row r="1175" spans="1:3" ht="14.25" customHeight="1" x14ac:dyDescent="0.3">
      <c r="A1175" s="3" t="s">
        <v>2340</v>
      </c>
      <c r="B1175" s="6" t="s">
        <v>2341</v>
      </c>
      <c r="C1175" s="5" t="str">
        <f ca="1">IFERROR(__xludf.DUMMYFUNCTION("GOOGLETRANSLATE(B1175, ""tr"", ""en"" )"),"Increasing the dispute, tension, turmoil, to make provocative words and behaviors on both sides")</f>
        <v>Increasing the dispute, tension, turmoil, to make provocative words and behaviors on both sides</v>
      </c>
    </row>
    <row r="1176" spans="1:3" ht="14.25" customHeight="1" x14ac:dyDescent="0.3">
      <c r="A1176" s="3" t="s">
        <v>2342</v>
      </c>
      <c r="B1176" s="6" t="s">
        <v>839</v>
      </c>
      <c r="C1176" s="5" t="str">
        <f ca="1">IFERROR(__xludf.DUMMYFUNCTION("GOOGLETRANSLATE(B1176, ""tr"", ""en"" )"),"Look at the eye")</f>
        <v>Look at the eye</v>
      </c>
    </row>
    <row r="1177" spans="1:3" ht="14.25" customHeight="1" x14ac:dyDescent="0.3">
      <c r="A1177" s="3" t="s">
        <v>2343</v>
      </c>
      <c r="B1177" s="6" t="s">
        <v>2344</v>
      </c>
      <c r="C1177" s="5" t="str">
        <f ca="1">IFERROR(__xludf.DUMMYFUNCTION("GOOGLETRANSLATE(B1177, ""tr"", ""en"" )"),"To avenge the evils done to him, to give his punishment with harsh response")</f>
        <v>To avenge the evils done to him, to give his punishment with harsh response</v>
      </c>
    </row>
    <row r="1178" spans="1:3" ht="14.25" customHeight="1" x14ac:dyDescent="0.3">
      <c r="A1178" s="3" t="s">
        <v>2345</v>
      </c>
      <c r="B1178" s="6" t="s">
        <v>2346</v>
      </c>
      <c r="C1178" s="5" t="str">
        <f ca="1">IFERROR(__xludf.DUMMYFUNCTION("GOOGLETRANSLATE(B1178, ""tr"", ""en"" )"),"Not to be revenated from him, not to see the evil he has done harsh, to be unpunished")</f>
        <v>Not to be revenated from him, not to see the evil he has done harsh, to be unpunished</v>
      </c>
    </row>
    <row r="1179" spans="1:3" ht="14.25" customHeight="1" x14ac:dyDescent="0.3">
      <c r="A1179" s="3" t="s">
        <v>2347</v>
      </c>
      <c r="B1179" s="6" t="s">
        <v>2348</v>
      </c>
      <c r="C1179" s="5" t="str">
        <f ca="1">IFERROR(__xludf.DUMMYFUNCTION("GOOGLETRANSLATE(B1179, ""tr"", ""en"" )"),"It has nothing to do with it, it has no similarity")</f>
        <v>It has nothing to do with it, it has no similarity</v>
      </c>
    </row>
    <row r="1180" spans="1:3" ht="14.25" customHeight="1" x14ac:dyDescent="0.3">
      <c r="A1180" s="3" t="s">
        <v>2349</v>
      </c>
      <c r="B1180" s="6" t="s">
        <v>2350</v>
      </c>
      <c r="C1180" s="5" t="str">
        <f ca="1">IFERROR(__xludf.DUMMYFUNCTION("GOOGLETRANSLATE(B1180, ""tr"", ""en"" )"),"Apply to a place where the request cannot be made")</f>
        <v>Apply to a place where the request cannot be made</v>
      </c>
    </row>
    <row r="1181" spans="1:3" ht="14.25" customHeight="1" x14ac:dyDescent="0.3">
      <c r="A1181" s="3" t="s">
        <v>2351</v>
      </c>
      <c r="B1181" s="6" t="s">
        <v>2352</v>
      </c>
      <c r="C1181" s="5" t="str">
        <f ca="1">IFERROR(__xludf.DUMMYFUNCTION("GOOGLETRANSLATE(B1181, ""tr"", ""en"" )"),"Support one of the parties")</f>
        <v>Support one of the parties</v>
      </c>
    </row>
    <row r="1182" spans="1:3" ht="14.25" customHeight="1" x14ac:dyDescent="0.3">
      <c r="A1182" s="3" t="s">
        <v>2353</v>
      </c>
      <c r="B1182" s="6" t="s">
        <v>2354</v>
      </c>
      <c r="C1182" s="5" t="str">
        <f ca="1">IFERROR(__xludf.DUMMYFUNCTION("GOOGLETRANSLATE(B1182, ""tr"", ""en"" )"),"Hostility")</f>
        <v>Hostility</v>
      </c>
    </row>
    <row r="1183" spans="1:3" ht="14.25" customHeight="1" x14ac:dyDescent="0.3">
      <c r="A1183" s="3" t="s">
        <v>2355</v>
      </c>
      <c r="B1183" s="6" t="s">
        <v>2356</v>
      </c>
      <c r="C1183" s="5" t="str">
        <f ca="1">IFERROR(__xludf.DUMMYFUNCTION("GOOGLETRANSLATE(B1183, ""tr"", ""en"" )"),"To do all the evils, to torment")</f>
        <v>To do all the evils, to torment</v>
      </c>
    </row>
    <row r="1184" spans="1:3" ht="14.25" customHeight="1" x14ac:dyDescent="0.3">
      <c r="A1184" s="3" t="s">
        <v>2357</v>
      </c>
      <c r="B1184" s="6" t="s">
        <v>2358</v>
      </c>
      <c r="C1184" s="5" t="str">
        <f ca="1">IFERROR(__xludf.DUMMYFUNCTION("GOOGLETRANSLATE(B1184, ""tr"", ""en"" )"),"Great trouble, pain, sadness")</f>
        <v>Great trouble, pain, sadness</v>
      </c>
    </row>
    <row r="1185" spans="1:3" ht="14.25" customHeight="1" x14ac:dyDescent="0.3">
      <c r="A1185" s="3" t="s">
        <v>2359</v>
      </c>
      <c r="B1185" s="6" t="s">
        <v>2360</v>
      </c>
      <c r="C1185" s="5" t="str">
        <f ca="1">IFERROR(__xludf.DUMMYFUNCTION("GOOGLETRANSLATE(B1185, ""tr"", ""en"" )"),"Not complete, very little, uninterrupted, don't fight from the beginning")</f>
        <v>Not complete, very little, uninterrupted, don't fight from the beginning</v>
      </c>
    </row>
    <row r="1186" spans="1:3" ht="14.25" customHeight="1" x14ac:dyDescent="0.3">
      <c r="A1186" s="3" t="s">
        <v>2361</v>
      </c>
      <c r="B1186" s="6" t="s">
        <v>2362</v>
      </c>
      <c r="C1186" s="5" t="str">
        <f ca="1">IFERROR(__xludf.DUMMYFUNCTION("GOOGLETRANSLATE(B1186, ""tr"", ""en"" )"),"Reluctant, reluctant to reluctantly")</f>
        <v>Reluctant, reluctant to reluctantly</v>
      </c>
    </row>
    <row r="1187" spans="1:3" ht="14.25" customHeight="1" x14ac:dyDescent="0.3">
      <c r="A1187" s="3" t="s">
        <v>2363</v>
      </c>
      <c r="B1187" s="6" t="s">
        <v>2364</v>
      </c>
      <c r="C1187" s="5" t="str">
        <f ca="1">IFERROR(__xludf.DUMMYFUNCTION("GOOGLETRANSLATE(B1187, ""tr"", ""en"" )"),"Random, cursory, incomplete and defective")</f>
        <v>Random, cursory, incomplete and defective</v>
      </c>
    </row>
    <row r="1188" spans="1:3" ht="14.25" customHeight="1" x14ac:dyDescent="0.3">
      <c r="A1188" s="3" t="s">
        <v>2365</v>
      </c>
      <c r="B1188" s="6" t="s">
        <v>2366</v>
      </c>
      <c r="C1188" s="5" t="str">
        <f ca="1">IFERROR(__xludf.DUMMYFUNCTION("GOOGLETRANSLATE(B1188, ""tr"", ""en"" )"),"As soon as possible, very quickly, without delay")</f>
        <v>As soon as possible, very quickly, without delay</v>
      </c>
    </row>
    <row r="1189" spans="1:3" ht="14.25" customHeight="1" x14ac:dyDescent="0.3">
      <c r="A1189" s="3" t="s">
        <v>2367</v>
      </c>
      <c r="B1189" s="6" t="s">
        <v>2368</v>
      </c>
      <c r="C1189" s="5" t="str">
        <f ca="1">IFERROR(__xludf.DUMMYFUNCTION("GOOGLETRANSLATE(B1189, ""tr"", ""en"" )"),"Not to take the support provided to the end")</f>
        <v>Not to take the support provided to the end</v>
      </c>
    </row>
    <row r="1190" spans="1:3" ht="14.25" customHeight="1" x14ac:dyDescent="0.3">
      <c r="A1190" s="3" t="s">
        <v>2369</v>
      </c>
      <c r="B1190" s="6" t="s">
        <v>2370</v>
      </c>
      <c r="C1190" s="5" t="str">
        <f ca="1">IFERROR(__xludf.DUMMYFUNCTION("GOOGLETRANSLATE(B1190, ""tr"", ""en"" )"),"Trying not to react against evil, troubles, sad events and ask God to give him patience")</f>
        <v>Trying not to react against evil, troubles, sad events and ask God to give him patience</v>
      </c>
    </row>
    <row r="1191" spans="1:3" ht="14.25" customHeight="1" x14ac:dyDescent="0.3">
      <c r="A1191" s="3" t="s">
        <v>2371</v>
      </c>
      <c r="B1191" s="6" t="s">
        <v>2372</v>
      </c>
      <c r="C1191" s="5" t="str">
        <f ca="1">IFERROR(__xludf.DUMMYFUNCTION("GOOGLETRANSLATE(B1191, ""tr"", ""en"" )"),"Being advanced in age, being old or mature")</f>
        <v>Being advanced in age, being old or mature</v>
      </c>
    </row>
    <row r="1192" spans="1:3" ht="14.25" customHeight="1" x14ac:dyDescent="0.3">
      <c r="A1192" s="3" t="s">
        <v>2373</v>
      </c>
      <c r="B1192" s="6" t="s">
        <v>2374</v>
      </c>
      <c r="C1192" s="5" t="str">
        <f ca="1">IFERROR(__xludf.DUMMYFUNCTION("GOOGLETRANSLATE(B1192, ""tr"", ""en"" )"),"Not to show the pain, the pain, the sadness; fading up")</f>
        <v>Not to show the pain, the pain, the sadness; fading up</v>
      </c>
    </row>
    <row r="1193" spans="1:3" ht="14.25" customHeight="1" x14ac:dyDescent="0.3">
      <c r="A1193" s="3" t="s">
        <v>2375</v>
      </c>
      <c r="B1193" s="6" t="s">
        <v>2376</v>
      </c>
      <c r="C1193" s="5" t="str">
        <f ca="1">IFERROR(__xludf.DUMMYFUNCTION("GOOGLETRANSLATE(B1193, ""tr"", ""en"" )"),"Not to fall into the trap easily, to be awake")</f>
        <v>Not to fall into the trap easily, to be awake</v>
      </c>
    </row>
    <row r="1194" spans="1:3" ht="14.25" customHeight="1" x14ac:dyDescent="0.3">
      <c r="A1194" s="3" t="s">
        <v>2377</v>
      </c>
      <c r="B1194" s="6" t="s">
        <v>2378</v>
      </c>
      <c r="C1194" s="5" t="str">
        <f ca="1">IFERROR(__xludf.DUMMYFUNCTION("GOOGLETRANSLATE(B1194, ""tr"", ""en"" )"),"To be forced to sleep because of the illness, to be in a position to stand up")</f>
        <v>To be forced to sleep because of the illness, to be in a position to stand up</v>
      </c>
    </row>
    <row r="1195" spans="1:3" ht="14.25" customHeight="1" x14ac:dyDescent="0.3">
      <c r="A1195" s="3" t="s">
        <v>2379</v>
      </c>
      <c r="B1195" s="6" t="s">
        <v>2380</v>
      </c>
      <c r="C1195" s="5" t="str">
        <f ca="1">IFERROR(__xludf.DUMMYFUNCTION("GOOGLETRANSLATE(B1195, ""tr"", ""en"" )"),"Helping a criminal, hiding it, hosting it")</f>
        <v>Helping a criminal, hiding it, hosting it</v>
      </c>
    </row>
    <row r="1196" spans="1:3" ht="14.25" customHeight="1" x14ac:dyDescent="0.3">
      <c r="A1196" s="3" t="s">
        <v>2381</v>
      </c>
      <c r="B1196" s="6" t="s">
        <v>2382</v>
      </c>
      <c r="C1196" s="5" t="str">
        <f ca="1">IFERROR(__xludf.DUMMYFUNCTION("GOOGLETRANSLATE(B1196, ""tr"", ""en"" )"),"Be very sick")</f>
        <v>Be very sick</v>
      </c>
    </row>
    <row r="1197" spans="1:3" ht="14.25" customHeight="1" x14ac:dyDescent="0.3">
      <c r="A1197" s="3" t="s">
        <v>2383</v>
      </c>
      <c r="B1197" s="6" t="s">
        <v>2384</v>
      </c>
      <c r="C1197" s="5" t="str">
        <f ca="1">IFERROR(__xludf.DUMMYFUNCTION("GOOGLETRANSLATE(B1197, ""tr"", ""en"" )"),"Shouting and crying, even though there is no significant reason")</f>
        <v>Shouting and crying, even though there is no significant reason</v>
      </c>
    </row>
    <row r="1198" spans="1:3" ht="14.25" customHeight="1" x14ac:dyDescent="0.3">
      <c r="A1198" s="3" t="s">
        <v>2385</v>
      </c>
      <c r="B1198" s="6" t="s">
        <v>2386</v>
      </c>
      <c r="C1198" s="5" t="str">
        <f ca="1">IFERROR(__xludf.DUMMYFUNCTION("GOOGLETRANSLATE(B1198, ""tr"", ""en"" )"),"Making decisions that do not comply with each other on a subject, often changing an issue on something because of indecision")</f>
        <v>Making decisions that do not comply with each other on a subject, often changing an issue on something because of indecision</v>
      </c>
    </row>
    <row r="1199" spans="1:3" ht="14.25" customHeight="1" x14ac:dyDescent="0.3">
      <c r="A1199" s="3" t="s">
        <v>2387</v>
      </c>
      <c r="B1199" s="6" t="s">
        <v>2388</v>
      </c>
      <c r="C1199" s="5" t="str">
        <f ca="1">IFERROR(__xludf.DUMMYFUNCTION("GOOGLETRANSLATE(B1199, ""tr"", ""en"" )"),"Everyone, the whole world")</f>
        <v>Everyone, the whole world</v>
      </c>
    </row>
    <row r="1200" spans="1:3" ht="14.25" customHeight="1" x14ac:dyDescent="0.3">
      <c r="A1200" s="3" t="s">
        <v>2389</v>
      </c>
      <c r="B1200" s="6" t="s">
        <v>2390</v>
      </c>
      <c r="C1200" s="5" t="str">
        <f ca="1">IFERROR(__xludf.DUMMYFUNCTION("GOOGLETRANSLATE(B1200, ""tr"", ""en"" )"),"Everybody who holds the foot from the largest to the smallest")</f>
        <v>Everybody who holds the foot from the largest to the smallest</v>
      </c>
    </row>
    <row r="1201" spans="1:3" ht="14.25" customHeight="1" x14ac:dyDescent="0.3">
      <c r="A1201" s="3" t="s">
        <v>2391</v>
      </c>
      <c r="B1201" s="6" t="s">
        <v>2392</v>
      </c>
      <c r="C1201" s="5" t="str">
        <f ca="1">IFERROR(__xludf.DUMMYFUNCTION("GOOGLETRANSLATE(B1201, ""tr"", ""en"" )"),"Almost every place, the whole world")</f>
        <v>Almost every place, the whole world</v>
      </c>
    </row>
    <row r="1202" spans="1:3" ht="14.25" customHeight="1" x14ac:dyDescent="0.3">
      <c r="A1202" s="3" t="s">
        <v>2393</v>
      </c>
      <c r="B1202" s="6" t="s">
        <v>2394</v>
      </c>
      <c r="C1202" s="5" t="str">
        <f ca="1">IFERROR(__xludf.DUMMYFUNCTION("GOOGLETRANSLATE(B1202, ""tr"", ""en"" )"),"Hand, neither relative nor familiar, there is no intimacy")</f>
        <v>Hand, neither relative nor familiar, there is no intimacy</v>
      </c>
    </row>
    <row r="1203" spans="1:3" ht="14.25" customHeight="1" x14ac:dyDescent="0.3">
      <c r="A1203" s="3" t="s">
        <v>2395</v>
      </c>
      <c r="B1203" s="6" t="s">
        <v>2396</v>
      </c>
      <c r="C1203" s="5" t="str">
        <f ca="1">IFERROR(__xludf.DUMMYFUNCTION("GOOGLETRANSLATE(B1203, ""tr"", ""en"" )"),"To see something more important than something")</f>
        <v>To see something more important than something</v>
      </c>
    </row>
    <row r="1204" spans="1:3" ht="14.25" customHeight="1" x14ac:dyDescent="0.3">
      <c r="A1204" s="3" t="s">
        <v>2397</v>
      </c>
      <c r="B1204" s="6" t="s">
        <v>2398</v>
      </c>
      <c r="C1204" s="5" t="str">
        <f ca="1">IFERROR(__xludf.DUMMYFUNCTION("GOOGLETRANSLATE(B1204, ""tr"", ""en"" )"),"To admit what the other person says; soften")</f>
        <v>To admit what the other person says; soften</v>
      </c>
    </row>
    <row r="1205" spans="1:3" ht="14.25" customHeight="1" x14ac:dyDescent="0.3">
      <c r="A1205" s="3" t="s">
        <v>2399</v>
      </c>
      <c r="B1205" s="6" t="s">
        <v>2400</v>
      </c>
      <c r="C1205" s="5" t="str">
        <f ca="1">IFERROR(__xludf.DUMMYFUNCTION("GOOGLETRANSLATE(B1205, ""tr"", ""en"" )"),"To batter a lot, to make it pitiful, to leave it in difficult situations")</f>
        <v>To batter a lot, to make it pitiful, to leave it in difficult situations</v>
      </c>
    </row>
    <row r="1206" spans="1:3" ht="14.25" customHeight="1" x14ac:dyDescent="0.3">
      <c r="A1206" s="3" t="s">
        <v>2401</v>
      </c>
      <c r="B1206" s="6" t="s">
        <v>2402</v>
      </c>
      <c r="C1206" s="5" t="str">
        <f ca="1">IFERROR(__xludf.DUMMYFUNCTION("GOOGLETRANSLATE(B1206, ""tr"", ""en"" )"),"Uslu, docile, silent, secretly and sneaky cabinet, who seem to be evil")</f>
        <v>Uslu, docile, silent, secretly and sneaky cabinet, who seem to be evil</v>
      </c>
    </row>
    <row r="1207" spans="1:3" ht="14.25" customHeight="1" x14ac:dyDescent="0.3">
      <c r="A1207" s="3" t="s">
        <v>2403</v>
      </c>
      <c r="B1207" s="6" t="s">
        <v>2404</v>
      </c>
      <c r="C1207" s="5" t="str">
        <f ca="1">IFERROR(__xludf.DUMMYFUNCTION("GOOGLETRANSLATE(B1207, ""tr"", ""en"" )"),"Not to know how to host a lot, how to welcome and make happy and make it happy")</f>
        <v>Not to know how to host a lot, how to welcome and make happy and make it happy</v>
      </c>
    </row>
    <row r="1208" spans="1:3" ht="14.25" customHeight="1" x14ac:dyDescent="0.3">
      <c r="A1208" s="3" t="s">
        <v>2405</v>
      </c>
      <c r="B1208" s="6" t="s">
        <v>2406</v>
      </c>
      <c r="C1208" s="5" t="str">
        <f ca="1">IFERROR(__xludf.DUMMYFUNCTION("GOOGLETRANSLATE(B1208, ""tr"", ""en"" )"),"Trail")</f>
        <v>Trail</v>
      </c>
    </row>
    <row r="1209" spans="1:3" ht="14.25" customHeight="1" x14ac:dyDescent="0.3">
      <c r="A1209" s="3" t="s">
        <v>2407</v>
      </c>
      <c r="B1209" s="6" t="s">
        <v>2408</v>
      </c>
      <c r="C1209" s="5" t="str">
        <f ca="1">IFERROR(__xludf.DUMMYFUNCTION("GOOGLETRANSLATE(B1209, ""tr"", ""en"" )"),"Not being able to improve, progress")</f>
        <v>Not being able to improve, progress</v>
      </c>
    </row>
    <row r="1210" spans="1:3" ht="14.25" customHeight="1" x14ac:dyDescent="0.3">
      <c r="A1210" s="3" t="s">
        <v>2409</v>
      </c>
      <c r="B1210" s="6" t="s">
        <v>2410</v>
      </c>
      <c r="C1210" s="5" t="str">
        <f ca="1">IFERROR(__xludf.DUMMYFUNCTION("GOOGLETRANSLATE(B1210, ""tr"", ""en"" )"),"To disappear, not to be found")</f>
        <v>To disappear, not to be found</v>
      </c>
    </row>
    <row r="1211" spans="1:3" ht="14.25" customHeight="1" x14ac:dyDescent="0.3">
      <c r="A1211" s="3" t="s">
        <v>2411</v>
      </c>
      <c r="B1211" s="6" t="s">
        <v>2412</v>
      </c>
      <c r="C1211" s="5" t="str">
        <f ca="1">IFERROR(__xludf.DUMMYFUNCTION("GOOGLETRANSLATE(B1211, ""tr"", ""en"" )"),"To be very embarrassed, to be bored")</f>
        <v>To be very embarrassed, to be bored</v>
      </c>
    </row>
    <row r="1212" spans="1:3" ht="14.25" customHeight="1" x14ac:dyDescent="0.3">
      <c r="A1212" s="3" t="s">
        <v>2413</v>
      </c>
      <c r="B1212" s="6" t="s">
        <v>2414</v>
      </c>
      <c r="C1212" s="5" t="str">
        <f ca="1">IFERROR(__xludf.DUMMYFUNCTION("GOOGLETRANSLATE(B1212, ""tr"", ""en"" )"),"To be as successful as someone who has left his post before")</f>
        <v>To be as successful as someone who has left his post before</v>
      </c>
    </row>
    <row r="1213" spans="1:3" ht="14.25" customHeight="1" x14ac:dyDescent="0.3">
      <c r="A1213" s="3" t="s">
        <v>2415</v>
      </c>
      <c r="B1213" s="6" t="s">
        <v>2416</v>
      </c>
      <c r="C1213" s="5" t="str">
        <f ca="1">IFERROR(__xludf.DUMMYFUNCTION("GOOGLETRANSLATE(B1213, ""tr"", ""en"" )"),"Rascal; what he does, where he stayed, where he is from unknown")</f>
        <v>Rascal; what he does, where he stayed, where he is from unknown</v>
      </c>
    </row>
    <row r="1214" spans="1:3" ht="14.25" customHeight="1" x14ac:dyDescent="0.3">
      <c r="A1214" s="3" t="s">
        <v>2417</v>
      </c>
      <c r="B1214" s="6" t="s">
        <v>2418</v>
      </c>
      <c r="C1214" s="5" t="str">
        <f ca="1">IFERROR(__xludf.DUMMYFUNCTION("GOOGLETRANSLATE(B1214, ""tr"", ""en"" )"),"Burning and demolishing a place, destroying, dismantling and distributing to the foundation")</f>
        <v>Burning and demolishing a place, destroying, dismantling and distributing to the foundation</v>
      </c>
    </row>
    <row r="1215" spans="1:3" ht="14.25" customHeight="1" x14ac:dyDescent="0.3">
      <c r="A1215" s="3" t="s">
        <v>2419</v>
      </c>
      <c r="B1215" s="6" t="s">
        <v>2420</v>
      </c>
      <c r="C1215" s="5" t="str">
        <f ca="1">IFERROR(__xludf.DUMMYFUNCTION("GOOGLETRANSLATE(B1215, ""tr"", ""en"" )"),"Whether it is appropriate, without watching the appropriate time")</f>
        <v>Whether it is appropriate, without watching the appropriate time</v>
      </c>
    </row>
    <row r="1216" spans="1:3" ht="14.25" customHeight="1" x14ac:dyDescent="0.3">
      <c r="A1216" s="3" t="s">
        <v>2421</v>
      </c>
      <c r="B1216" s="6" t="s">
        <v>2422</v>
      </c>
      <c r="C1216" s="5" t="str">
        <f ca="1">IFERROR(__xludf.DUMMYFUNCTION("GOOGLETRANSLATE(B1216, ""tr"", ""en"" )"),"Not to be found in a lost thing")</f>
        <v>Not to be found in a lost thing</v>
      </c>
    </row>
    <row r="1217" spans="1:3" ht="14.25" customHeight="1" x14ac:dyDescent="0.3">
      <c r="A1217" s="3" t="s">
        <v>2423</v>
      </c>
      <c r="B1217" s="6" t="s">
        <v>2424</v>
      </c>
      <c r="C1217" s="5" t="str">
        <f ca="1">IFERROR(__xludf.DUMMYFUNCTION("GOOGLETRANSLATE(B1217, ""tr"", ""en"" )"),"An event in society, consider excitement, excitement, noise, fuss, turmoil")</f>
        <v>An event in society, consider excitement, excitement, noise, fuss, turmoil</v>
      </c>
    </row>
    <row r="1218" spans="1:3" ht="14.25" customHeight="1" x14ac:dyDescent="0.3">
      <c r="A1218" s="3" t="s">
        <v>2425</v>
      </c>
      <c r="B1218" s="6" t="s">
        <v>2426</v>
      </c>
      <c r="C1218" s="5" t="str">
        <f ca="1">IFERROR(__xludf.DUMMYFUNCTION("GOOGLETRANSLATE(B1218, ""tr"", ""en"" )"),"Let something happen")</f>
        <v>Let something happen</v>
      </c>
    </row>
    <row r="1219" spans="1:3" ht="14.25" customHeight="1" x14ac:dyDescent="0.3">
      <c r="A1219" s="3" t="s">
        <v>2427</v>
      </c>
      <c r="B1219" s="6" t="s">
        <v>2428</v>
      </c>
      <c r="C1219" s="5" t="str">
        <f ca="1">IFERROR(__xludf.DUMMYFUNCTION("GOOGLETRANSLATE(B1219, ""tr"", ""en"" )"),"That cannot be concluded, cannot be resolved, extended (issue or work)")</f>
        <v>That cannot be concluded, cannot be resolved, extended (issue or work)</v>
      </c>
    </row>
    <row r="1220" spans="1:3" ht="14.25" customHeight="1" x14ac:dyDescent="0.3">
      <c r="A1220" s="3" t="s">
        <v>2429</v>
      </c>
      <c r="B1220" s="6" t="s">
        <v>2430</v>
      </c>
      <c r="C1220" s="5" t="str">
        <f ca="1">IFERROR(__xludf.DUMMYFUNCTION("GOOGLETRANSLATE(B1220, ""tr"", ""en"" )"),"To give an opportunity to a person who will damage, do evil, to make an opportunity")</f>
        <v>To give an opportunity to a person who will damage, do evil, to make an opportunity</v>
      </c>
    </row>
    <row r="1221" spans="1:3" ht="14.25" customHeight="1" x14ac:dyDescent="0.3">
      <c r="A1221" s="3" t="s">
        <v>2431</v>
      </c>
      <c r="B1221" s="6" t="s">
        <v>2432</v>
      </c>
      <c r="C1221" s="5" t="str">
        <f ca="1">IFERROR(__xludf.DUMMYFUNCTION("GOOGLETRANSLATE(B1221, ""tr"", ""en"" )"),"With some behavior, many people angered criticism and attacks")</f>
        <v>With some behavior, many people angered criticism and attacks</v>
      </c>
    </row>
    <row r="1222" spans="1:3" ht="14.25" customHeight="1" x14ac:dyDescent="0.3">
      <c r="A1222" s="3" t="s">
        <v>2433</v>
      </c>
      <c r="B1222" s="6" t="s">
        <v>2434</v>
      </c>
      <c r="C1222" s="5" t="str">
        <f ca="1">IFERROR(__xludf.DUMMYFUNCTION("GOOGLETRANSLATE(B1222, ""tr"", ""en"" )"),"The differences of opinion, thought and emotion among them are not found and like each other, not getting along well with each other, whether they agree")</f>
        <v>The differences of opinion, thought and emotion among them are not found and like each other, not getting along well with each other, whether they agree</v>
      </c>
    </row>
    <row r="1223" spans="1:3" ht="14.25" customHeight="1" x14ac:dyDescent="0.3">
      <c r="A1223" s="3" t="s">
        <v>2435</v>
      </c>
      <c r="B1223" s="6" t="s">
        <v>2436</v>
      </c>
      <c r="C1223" s="5" t="str">
        <f ca="1">IFERROR(__xludf.DUMMYFUNCTION("GOOGLETRANSLATE(B1223, ""tr"", ""en"" )"),"To be very successful and will attract everyone's attention, gaining fame")</f>
        <v>To be very successful and will attract everyone's attention, gaining fame</v>
      </c>
    </row>
    <row r="1224" spans="1:3" ht="14.25" customHeight="1" x14ac:dyDescent="0.3">
      <c r="A1224" s="3" t="s">
        <v>2437</v>
      </c>
      <c r="B1224" s="6" t="s">
        <v>2438</v>
      </c>
      <c r="C1224" s="5" t="str">
        <f ca="1">IFERROR(__xludf.DUMMYFUNCTION("GOOGLETRANSLATE(B1224, ""tr"", ""en"" )"),"Losing your reputation and reputation")</f>
        <v>Losing your reputation and reputation</v>
      </c>
    </row>
    <row r="1225" spans="1:3" ht="14.25" customHeight="1" x14ac:dyDescent="0.3">
      <c r="A1225" s="3" t="s">
        <v>2439</v>
      </c>
      <c r="B1225" s="6" t="s">
        <v>2440</v>
      </c>
      <c r="C1225" s="5" t="str">
        <f ca="1">IFERROR(__xludf.DUMMYFUNCTION("GOOGLETRANSLATE(B1225, ""tr"", ""en"" )"),"Extremely cheap, at a price below its value")</f>
        <v>Extremely cheap, at a price below its value</v>
      </c>
    </row>
    <row r="1226" spans="1:3" ht="14.25" customHeight="1" x14ac:dyDescent="0.3">
      <c r="A1226" s="3" t="s">
        <v>2441</v>
      </c>
      <c r="B1226" s="6" t="s">
        <v>2442</v>
      </c>
      <c r="C1226" s="5" t="str">
        <f ca="1">IFERROR(__xludf.DUMMYFUNCTION("GOOGLETRANSLATE(B1226, ""tr"", ""en"" )"),"To correct the reverse attitude, to be raised, to accept the desired form of behavior")</f>
        <v>To correct the reverse attitude, to be raised, to accept the desired form of behavior</v>
      </c>
    </row>
    <row r="1227" spans="1:3" ht="14.25" customHeight="1" x14ac:dyDescent="0.3">
      <c r="A1227" s="3" t="s">
        <v>2443</v>
      </c>
      <c r="B1227" s="6" t="s">
        <v>2444</v>
      </c>
      <c r="C1227" s="5" t="str">
        <f ca="1">IFERROR(__xludf.DUMMYFUNCTION("GOOGLETRANSLATE(B1227, ""tr"", ""en"" )"),"Correcting someone's opposite attitude")</f>
        <v>Correcting someone's opposite attitude</v>
      </c>
    </row>
    <row r="1228" spans="1:3" ht="14.25" customHeight="1" x14ac:dyDescent="0.3">
      <c r="A1228" s="3" t="s">
        <v>2445</v>
      </c>
      <c r="B1228" s="6" t="s">
        <v>2446</v>
      </c>
      <c r="C1228" s="5" t="str">
        <f ca="1">IFERROR(__xludf.DUMMYFUNCTION("GOOGLETRANSLATE(B1228, ""tr"", ""en"" )"),"Trying to find a remedy for an issue, looking for opportunities")</f>
        <v>Trying to find a remedy for an issue, looking for opportunities</v>
      </c>
    </row>
    <row r="1229" spans="1:3" ht="14.25" customHeight="1" x14ac:dyDescent="0.3">
      <c r="A1229" s="3" t="s">
        <v>2447</v>
      </c>
      <c r="B1229" s="6" t="s">
        <v>2448</v>
      </c>
      <c r="C1229" s="5" t="str">
        <f ca="1">IFERROR(__xludf.DUMMYFUNCTION("GOOGLETRANSLATE(B1229, ""tr"", ""en"" )"),"Find a solution, a remedy")</f>
        <v>Find a solution, a remedy</v>
      </c>
    </row>
    <row r="1230" spans="1:3" ht="14.25" customHeight="1" x14ac:dyDescent="0.3">
      <c r="A1230" s="3" t="s">
        <v>2449</v>
      </c>
      <c r="B1230" s="6" t="s">
        <v>2450</v>
      </c>
      <c r="C1230" s="5" t="str">
        <f ca="1">IFERROR(__xludf.DUMMYFUNCTION("GOOGLETRANSLATE(B1230, ""tr"", ""en"" )"),"Almost everyone in and out")</f>
        <v>Almost everyone in and out</v>
      </c>
    </row>
    <row r="1231" spans="1:3" ht="14.25" customHeight="1" x14ac:dyDescent="0.3">
      <c r="A1231" s="3" t="s">
        <v>2451</v>
      </c>
      <c r="B1231" s="6" t="s">
        <v>2452</v>
      </c>
      <c r="C1231" s="5" t="str">
        <f ca="1">IFERROR(__xludf.DUMMYFUNCTION("GOOGLETRANSLATE(B1231, ""tr"", ""en"" )"),"Guidance, describing the way to those who do not know, explaining how to go")</f>
        <v>Guidance, describing the way to those who do not know, explaining how to go</v>
      </c>
    </row>
    <row r="1232" spans="1:3" ht="14.25" customHeight="1" x14ac:dyDescent="0.3">
      <c r="A1232" s="3" t="s">
        <v>2453</v>
      </c>
      <c r="B1232" s="6" t="s">
        <v>2454</v>
      </c>
      <c r="C1232" s="5" t="str">
        <f ca="1">IFERROR(__xludf.DUMMYFUNCTION("GOOGLETRANSLATE(B1232, ""tr"", ""en"" )"),"Not knowing the way and place to go to foreign and go")</f>
        <v>Not knowing the way and place to go to foreign and go</v>
      </c>
    </row>
    <row r="1233" spans="1:3" ht="14.25" customHeight="1" x14ac:dyDescent="0.3">
      <c r="A1233" s="3" t="s">
        <v>2455</v>
      </c>
      <c r="B1233" s="6" t="s">
        <v>2456</v>
      </c>
      <c r="C1233" s="5" t="str">
        <f ca="1">IFERROR(__xludf.DUMMYFUNCTION("GOOGLETRANSLATE(B1233, ""tr"", ""en"" )"),"To pass from that place on its way; that place is on its way")</f>
        <v>To pass from that place on its way; that place is on its way</v>
      </c>
    </row>
    <row r="1234" spans="1:3" ht="14.25" customHeight="1" x14ac:dyDescent="0.3">
      <c r="A1234" s="3" t="s">
        <v>2457</v>
      </c>
      <c r="B1234" s="6" t="s">
        <v>2458</v>
      </c>
      <c r="C1234" s="5" t="str">
        <f ca="1">IFERROR(__xludf.DUMMYFUNCTION("GOOGLETRANSLATE(B1234, ""tr"", ""en"" )"),"To get the desired format, to develop as necessary")</f>
        <v>To get the desired format, to develop as necessary</v>
      </c>
    </row>
    <row r="1235" spans="1:3" ht="14.25" customHeight="1" x14ac:dyDescent="0.3">
      <c r="A1235" s="3" t="s">
        <v>2459</v>
      </c>
      <c r="B1235" s="6" t="s">
        <v>2460</v>
      </c>
      <c r="C1235" s="5" t="str">
        <f ca="1">IFERROR(__xludf.DUMMYFUNCTION("GOOGLETRANSLATE(B1235, ""tr"", ""en"" )"),"Putting a job in a positive situation, bringing it to the desired shape")</f>
        <v>Putting a job in a positive situation, bringing it to the desired shape</v>
      </c>
    </row>
    <row r="1236" spans="1:3" ht="14.25" customHeight="1" x14ac:dyDescent="0.3">
      <c r="A1236" s="3" t="s">
        <v>2461</v>
      </c>
      <c r="B1236" s="6" t="s">
        <v>2462</v>
      </c>
      <c r="C1236" s="5" t="str">
        <f ca="1">IFERROR(__xludf.DUMMYFUNCTION("GOOGLETRANSLATE(B1236, ""tr"", ""en"" )"),"Wait for it")</f>
        <v>Wait for it</v>
      </c>
    </row>
    <row r="1237" spans="1:3" ht="14.25" customHeight="1" x14ac:dyDescent="0.3">
      <c r="A1237" s="3" t="s">
        <v>2463</v>
      </c>
      <c r="B1237" s="6" t="s">
        <v>2464</v>
      </c>
      <c r="C1237" s="5" t="str">
        <f ca="1">IFERROR(__xludf.DUMMYFUNCTION("GOOGLETRANSLATE(B1237, ""tr"", ""en"" )"),"Reaching the solution, finding the necessary remedy")</f>
        <v>Reaching the solution, finding the necessary remedy</v>
      </c>
    </row>
    <row r="1238" spans="1:3" ht="14.25" customHeight="1" x14ac:dyDescent="0.3">
      <c r="A1238" s="3" t="s">
        <v>2465</v>
      </c>
      <c r="B1238" s="6" t="s">
        <v>2466</v>
      </c>
      <c r="C1238" s="5" t="str">
        <f ca="1">IFERROR(__xludf.DUMMYFUNCTION("GOOGLETRANSLATE(B1238, ""tr"", ""en"" )"),"Falling down the bad road, leaving the right way")</f>
        <v>Falling down the bad road, leaving the right way</v>
      </c>
    </row>
    <row r="1239" spans="1:3" ht="14.25" customHeight="1" x14ac:dyDescent="0.3">
      <c r="A1239" s="3" t="s">
        <v>2467</v>
      </c>
      <c r="B1239" s="6" t="s">
        <v>2468</v>
      </c>
      <c r="C1239" s="5" t="str">
        <f ca="1">IFERROR(__xludf.DUMMYFUNCTION("GOOGLETRANSLATE(B1239, ""tr"", ""en"" )"),"In the initiative that will bring a job to a positive result or make it possible, to prepare or take precautions")</f>
        <v>In the initiative that will bring a job to a positive result or make it possible, to prepare or take precautions</v>
      </c>
    </row>
    <row r="1240" spans="1:3" ht="14.25" customHeight="1" x14ac:dyDescent="0.3">
      <c r="A1240" s="3" t="s">
        <v>2469</v>
      </c>
      <c r="B1240" s="6" t="s">
        <v>2470</v>
      </c>
      <c r="C1240" s="5" t="str">
        <f ca="1">IFERROR(__xludf.DUMMYFUNCTION("GOOGLETRANSLATE(B1240, ""tr"", ""en"" )"),"Something, the procedures and rules of behavior or making")</f>
        <v>Something, the procedures and rules of behavior or making</v>
      </c>
    </row>
    <row r="1241" spans="1:3" ht="14.25" customHeight="1" x14ac:dyDescent="0.3">
      <c r="A1241" s="3" t="s">
        <v>2471</v>
      </c>
      <c r="B1241" s="6" t="s">
        <v>2472</v>
      </c>
      <c r="C1241" s="5" t="str">
        <f ca="1">IFERROR(__xludf.DUMMYFUNCTION("GOOGLETRANSLATE(B1241, ""tr"", ""en"" )"),"Very emotional and influenced by the events immediately crying, very sorrowful, upset")</f>
        <v>Very emotional and influenced by the events immediately crying, very sorrowful, upset</v>
      </c>
    </row>
    <row r="1242" spans="1:3" ht="14.25" customHeight="1" x14ac:dyDescent="0.3">
      <c r="A1242" s="3" t="s">
        <v>2473</v>
      </c>
      <c r="B1242" s="6" t="s">
        <v>2474</v>
      </c>
      <c r="C1242" s="5" t="str">
        <f ca="1">IFERROR(__xludf.DUMMYFUNCTION("GOOGLETRANSLATE(B1242, ""tr"", ""en"" )"),"Two behaviors, two people, the difficulty of not being able to make a choice between two opposing things")</f>
        <v>Two behaviors, two people, the difficulty of not being able to make a choice between two opposing things</v>
      </c>
    </row>
    <row r="1243" spans="1:3" ht="14.25" customHeight="1" x14ac:dyDescent="0.3">
      <c r="A1243" s="3" t="s">
        <v>2475</v>
      </c>
      <c r="B1243" s="6" t="s">
        <v>2476</v>
      </c>
      <c r="C1243" s="5" t="str">
        <f ca="1">IFERROR(__xludf.DUMMYFUNCTION("GOOGLETRANSLATE(B1243, ""tr"", ""en"" )"),"Anyone who does not turn down what he was requested, does not want to offend anyone")</f>
        <v>Anyone who does not turn down what he was requested, does not want to offend anyone</v>
      </c>
    </row>
    <row r="1244" spans="1:3" ht="14.25" customHeight="1" x14ac:dyDescent="0.3">
      <c r="A1244" s="3" t="s">
        <v>2477</v>
      </c>
      <c r="B1244" s="6" t="s">
        <v>2478</v>
      </c>
      <c r="C1244" s="5" t="str">
        <f ca="1">IFERROR(__xludf.DUMMYFUNCTION("GOOGLETRANSLATE(B1244, ""tr"", ""en"" )"),"The account that can be completed to a whole number without going into detail")</f>
        <v>The account that can be completed to a whole number without going into detail</v>
      </c>
    </row>
    <row r="1245" spans="1:3" ht="14.25" customHeight="1" x14ac:dyDescent="0.3">
      <c r="A1245" s="3" t="s">
        <v>2479</v>
      </c>
      <c r="B1245" s="6" t="s">
        <v>2480</v>
      </c>
      <c r="C1245" s="5" t="str">
        <f ca="1">IFERROR(__xludf.DUMMYFUNCTION("GOOGLETRANSLATE(B1245, ""tr"", ""en"" )"),"Living life in the possibilities at hand")</f>
        <v>Living life in the possibilities at hand</v>
      </c>
    </row>
    <row r="1246" spans="1:3" ht="14.25" customHeight="1" x14ac:dyDescent="0.3">
      <c r="A1246" s="3" t="s">
        <v>2481</v>
      </c>
      <c r="B1246" s="6" t="s">
        <v>2482</v>
      </c>
      <c r="C1246" s="5" t="str">
        <f ca="1">IFERROR(__xludf.DUMMYFUNCTION("GOOGLETRANSLATE(B1246, ""tr"", ""en"" )"),"To accept a heavy task that requires responsibility")</f>
        <v>To accept a heavy task that requires responsibility</v>
      </c>
    </row>
    <row r="1247" spans="1:3" ht="14.25" customHeight="1" x14ac:dyDescent="0.3">
      <c r="A1247" s="3" t="s">
        <v>2483</v>
      </c>
      <c r="B1247" s="6" t="s">
        <v>2484</v>
      </c>
      <c r="C1247" s="5" t="str">
        <f ca="1">IFERROR(__xludf.DUMMYFUNCTION("GOOGLETRANSLATE(B1247, ""tr"", ""en"" )"),"Asking for things hard to get")</f>
        <v>Asking for things hard to get</v>
      </c>
    </row>
    <row r="1248" spans="1:3" ht="14.25" customHeight="1" x14ac:dyDescent="0.3">
      <c r="A1248" s="3" t="s">
        <v>2485</v>
      </c>
      <c r="B1248" s="6" t="s">
        <v>2486</v>
      </c>
      <c r="C1248" s="5" t="str">
        <f ca="1">IFERROR(__xludf.DUMMYFUNCTION("GOOGLETRANSLATE(B1248, ""tr"", ""en"" )"),"Exaggerated to talk as if it were going to do things")</f>
        <v>Exaggerated to talk as if it were going to do things</v>
      </c>
    </row>
    <row r="1249" spans="1:3" ht="14.25" customHeight="1" x14ac:dyDescent="0.3">
      <c r="A1249" s="3" t="s">
        <v>2487</v>
      </c>
      <c r="B1249" s="6" t="s">
        <v>2488</v>
      </c>
      <c r="C1249" s="5" t="str">
        <f ca="1">IFERROR(__xludf.DUMMYFUNCTION("GOOGLETRANSLATE(B1249, ""tr"", ""en"" )"),"Saying things he can't do")</f>
        <v>Saying things he can't do</v>
      </c>
    </row>
    <row r="1250" spans="1:3" ht="14.25" customHeight="1" x14ac:dyDescent="0.3">
      <c r="A1250" s="3" t="s">
        <v>2489</v>
      </c>
      <c r="B1250" s="6" t="s">
        <v>2490</v>
      </c>
      <c r="C1250" s="5" t="str">
        <f ca="1">IFERROR(__xludf.DUMMYFUNCTION("GOOGLETRANSLATE(B1250, ""tr"", ""en"" )"),"Easy to carry, precious items")</f>
        <v>Easy to carry, precious items</v>
      </c>
    </row>
    <row r="1251" spans="1:3" ht="14.25" customHeight="1" x14ac:dyDescent="0.3">
      <c r="A1251" s="3" t="s">
        <v>2491</v>
      </c>
      <c r="B1251" s="6" t="s">
        <v>2492</v>
      </c>
      <c r="C1251" s="5" t="str">
        <f ca="1">IFERROR(__xludf.DUMMYFUNCTION("GOOGLETRANSLATE(B1251, ""tr"", ""en"" )"),"To achieve a heavy job he gets on")</f>
        <v>To achieve a heavy job he gets on</v>
      </c>
    </row>
    <row r="1252" spans="1:3" ht="14.25" customHeight="1" x14ac:dyDescent="0.3">
      <c r="A1252" s="3" t="s">
        <v>2493</v>
      </c>
      <c r="B1252" s="6" t="s">
        <v>2494</v>
      </c>
      <c r="C1252" s="5" t="str">
        <f ca="1">IFERROR(__xludf.DUMMYFUNCTION("GOOGLETRANSLATE(B1252, ""tr"", ""en"" )"),"Suddenly to be so scared, throw fast as if the heart is going to jump out")</f>
        <v>Suddenly to be so scared, throw fast as if the heart is going to jump out</v>
      </c>
    </row>
    <row r="1253" spans="1:3" ht="14.25" customHeight="1" x14ac:dyDescent="0.3">
      <c r="A1253" s="3" t="s">
        <v>2495</v>
      </c>
      <c r="B1253" s="6" t="s">
        <v>2496</v>
      </c>
      <c r="C1253" s="5" t="str">
        <f ca="1">IFERROR(__xludf.DUMMYFUNCTION("GOOGLETRANSLATE(B1253, ""tr"", ""en"" )"),"Very pity, whining inside")</f>
        <v>Very pity, whining inside</v>
      </c>
    </row>
    <row r="1254" spans="1:3" ht="14.25" customHeight="1" x14ac:dyDescent="0.3">
      <c r="A1254" s="3" t="s">
        <v>2497</v>
      </c>
      <c r="B1254" s="6" t="s">
        <v>2498</v>
      </c>
      <c r="C1254" s="5" t="str">
        <f ca="1">IFERROR(__xludf.DUMMYFUNCTION("GOOGLETRANSLATE(B1254, ""tr"", ""en"" )"),"To be afraid and worrying, so being anxious")</f>
        <v>To be afraid and worrying, so being anxious</v>
      </c>
    </row>
    <row r="1255" spans="1:3" ht="14.25" customHeight="1" x14ac:dyDescent="0.3">
      <c r="A1255" s="3" t="s">
        <v>2499</v>
      </c>
      <c r="B1255" s="6" t="s">
        <v>2500</v>
      </c>
      <c r="C1255" s="5" t="str">
        <f ca="1">IFERROR(__xludf.DUMMYFUNCTION("GOOGLETRANSLATE(B1255, ""tr"", ""en"" )"),"Hearing a lot of pain, not being able to endure your pain")</f>
        <v>Hearing a lot of pain, not being able to endure your pain</v>
      </c>
    </row>
    <row r="1256" spans="1:3" ht="14.25" customHeight="1" x14ac:dyDescent="0.3">
      <c r="A1256" s="3" t="s">
        <v>2501</v>
      </c>
      <c r="B1256" s="6" t="s">
        <v>2502</v>
      </c>
      <c r="C1256" s="5" t="str">
        <f ca="1">IFERROR(__xludf.DUMMYFUNCTION("GOOGLETRANSLATE(B1256, ""tr"", ""en"" )"),"A suddenly scared and excited in the face of an event")</f>
        <v>A suddenly scared and excited in the face of an event</v>
      </c>
    </row>
    <row r="1257" spans="1:3" ht="14.25" customHeight="1" x14ac:dyDescent="0.3">
      <c r="A1257" s="3" t="s">
        <v>2503</v>
      </c>
      <c r="B1257" s="6" t="s">
        <v>2504</v>
      </c>
      <c r="C1257" s="5" t="str">
        <f ca="1">IFERROR(__xludf.DUMMYFUNCTION("GOOGLETRANSLATE(B1257, ""tr"", ""en"" )"),"get rid of anxiety, boredom")</f>
        <v>get rid of anxiety, boredom</v>
      </c>
    </row>
    <row r="1258" spans="1:3" ht="14.25" customHeight="1" x14ac:dyDescent="0.3">
      <c r="A1258" s="3" t="s">
        <v>2505</v>
      </c>
      <c r="B1258" s="6" t="s">
        <v>2506</v>
      </c>
      <c r="C1258" s="5" t="str">
        <f ca="1">IFERROR(__xludf.DUMMYFUNCTION("GOOGLETRANSLATE(B1258, ""tr"", ""en"" )"),"To encounter a news that will alleviate his sadness, to refresh")</f>
        <v>To encounter a news that will alleviate his sadness, to refresh</v>
      </c>
    </row>
    <row r="1259" spans="1:3" ht="14.25" customHeight="1" x14ac:dyDescent="0.3">
      <c r="A1259" s="3" t="s">
        <v>2507</v>
      </c>
      <c r="B1259" s="6" t="s">
        <v>2508</v>
      </c>
      <c r="C1259" s="5" t="str">
        <f ca="1">IFERROR(__xludf.DUMMYFUNCTION("GOOGLETRANSLATE(B1259, ""tr"", ""en"" )"),"Fucking his heart quickly with fear and excitement")</f>
        <v>Fucking his heart quickly with fear and excitement</v>
      </c>
    </row>
    <row r="1260" spans="1:3" ht="14.25" customHeight="1" x14ac:dyDescent="0.3">
      <c r="A1260" s="3" t="s">
        <v>2509</v>
      </c>
      <c r="B1260" s="6" t="s">
        <v>2510</v>
      </c>
      <c r="C1260" s="5" t="str">
        <f ca="1">IFERROR(__xludf.DUMMYFUNCTION("GOOGLETRANSLATE(B1260, ""tr"", ""en"" )"),"Fearless, very courageous")</f>
        <v>Fearless, very courageous</v>
      </c>
    </row>
    <row r="1261" spans="1:3" ht="14.25" customHeight="1" x14ac:dyDescent="0.3">
      <c r="A1261" s="3" t="s">
        <v>2511</v>
      </c>
      <c r="B1261" s="6" t="s">
        <v>2512</v>
      </c>
      <c r="C1261" s="5" t="str">
        <f ca="1">IFERROR(__xludf.DUMMYFUNCTION("GOOGLETRANSLATE(B1261, ""tr"", ""en"" )"),"Pity too much")</f>
        <v>Pity too much</v>
      </c>
    </row>
    <row r="1262" spans="1:3" ht="14.25" customHeight="1" x14ac:dyDescent="0.3">
      <c r="A1262" s="3" t="s">
        <v>2513</v>
      </c>
      <c r="B1262" s="6" t="s">
        <v>2514</v>
      </c>
      <c r="C1262" s="5" t="str">
        <f ca="1">IFERROR(__xludf.DUMMYFUNCTION("GOOGLETRANSLATE(B1262, ""tr"", ""en"" )"),"Going on the way to benefit from the tolerance shown to him, to be spoiled, to be unpleasant behaviors")</f>
        <v>Going on the way to benefit from the tolerance shown to him, to be spoiled, to be unpleasant behaviors</v>
      </c>
    </row>
    <row r="1263" spans="1:3" ht="14.25" customHeight="1" x14ac:dyDescent="0.3">
      <c r="A1263" s="3" t="s">
        <v>2515</v>
      </c>
      <c r="B1263" s="6" t="s">
        <v>2516</v>
      </c>
      <c r="C1263" s="5" t="str">
        <f ca="1">IFERROR(__xludf.DUMMYFUNCTION("GOOGLETRANSLATE(B1263, ""tr"", ""en"" )"),"Try to look friendly")</f>
        <v>Try to look friendly</v>
      </c>
    </row>
    <row r="1264" spans="1:3" ht="14.25" customHeight="1" x14ac:dyDescent="0.3">
      <c r="A1264" s="3" t="s">
        <v>2517</v>
      </c>
      <c r="B1264" s="6" t="s">
        <v>2518</v>
      </c>
      <c r="C1264" s="5" t="str">
        <f ca="1">IFERROR(__xludf.DUMMYFUNCTION("GOOGLETRANSLATE(B1264, ""tr"", ""en"" )"),"A crime or misdemeanor he committed")</f>
        <v>A crime or misdemeanor he committed</v>
      </c>
    </row>
    <row r="1265" spans="1:3" ht="14.25" customHeight="1" x14ac:dyDescent="0.3">
      <c r="A1265" s="3" t="s">
        <v>2519</v>
      </c>
      <c r="B1265" s="6" t="s">
        <v>2520</v>
      </c>
      <c r="C1265" s="5" t="str">
        <f ca="1">IFERROR(__xludf.DUMMYFUNCTION("GOOGLETRANSLATE(B1265, ""tr"", ""en"" )"),"Approaching the end of a long -lasting job")</f>
        <v>Approaching the end of a long -lasting job</v>
      </c>
    </row>
    <row r="1266" spans="1:3" ht="14.25" customHeight="1" x14ac:dyDescent="0.3">
      <c r="A1266" s="3" t="s">
        <v>2521</v>
      </c>
      <c r="B1266" s="6" t="s">
        <v>2522</v>
      </c>
      <c r="C1266" s="5" t="str">
        <f ca="1">IFERROR(__xludf.DUMMYFUNCTION("GOOGLETRANSLATE(B1266, ""tr"", ""en"" )"),"Being you with you and not having to avoid each other, to be the distance between them")</f>
        <v>Being you with you and not having to avoid each other, to be the distance between them</v>
      </c>
    </row>
    <row r="1267" spans="1:3" ht="14.25" customHeight="1" x14ac:dyDescent="0.3">
      <c r="A1267" s="3" t="s">
        <v>2523</v>
      </c>
      <c r="B1267" s="6" t="s">
        <v>2524</v>
      </c>
      <c r="C1267" s="5" t="str">
        <f ca="1">IFERROR(__xludf.DUMMYFUNCTION("GOOGLETRANSLATE(B1267, ""tr"", ""en"" )"),"Doing a shameful job for his family, his surroundings")</f>
        <v>Doing a shameful job for his family, his surroundings</v>
      </c>
    </row>
    <row r="1268" spans="1:3" ht="14.25" customHeight="1" x14ac:dyDescent="0.3">
      <c r="A1268" s="3" t="s">
        <v>2525</v>
      </c>
      <c r="B1268" s="6" t="s">
        <v>2526</v>
      </c>
      <c r="C1268" s="5" t="str">
        <f ca="1">IFERROR(__xludf.DUMMYFUNCTION("GOOGLETRANSLATE(B1268, ""tr"", ""en"" )"),"Very embarrassing movement or situation")</f>
        <v>Very embarrassing movement or situation</v>
      </c>
    </row>
    <row r="1269" spans="1:3" ht="14.25" customHeight="1" x14ac:dyDescent="0.3">
      <c r="A1269" s="3" t="s">
        <v>2527</v>
      </c>
      <c r="B1269" s="6" t="s">
        <v>2528</v>
      </c>
      <c r="C1269" s="5" t="str">
        <f ca="1">IFERROR(__xludf.DUMMYFUNCTION("GOOGLETRANSLATE(B1269, ""tr"", ""en"" )"),"The crime, no shameful situation; be clean and pure")</f>
        <v>The crime, no shameful situation; be clean and pure</v>
      </c>
    </row>
    <row r="1270" spans="1:3" ht="14.25" customHeight="1" x14ac:dyDescent="0.3">
      <c r="A1270" s="3" t="s">
        <v>2529</v>
      </c>
      <c r="B1270" s="6" t="s">
        <v>2530</v>
      </c>
      <c r="C1270" s="5" t="str">
        <f ca="1">IFERROR(__xludf.DUMMYFUNCTION("GOOGLETRANSLATE(B1270, ""tr"", ""en"" )"),"To be very indebted to a person and not to ask for anything from it anymore")</f>
        <v>To be very indebted to a person and not to ask for anything from it anymore</v>
      </c>
    </row>
    <row r="1271" spans="1:3" ht="14.25" customHeight="1" x14ac:dyDescent="0.3">
      <c r="A1271" s="3" t="s">
        <v>2531</v>
      </c>
      <c r="B1271" s="6" t="s">
        <v>2532</v>
      </c>
      <c r="C1271" s="5" t="str">
        <f ca="1">IFERROR(__xludf.DUMMYFUNCTION("GOOGLETRANSLATE(B1271, ""tr"", ""en"" )"),"With a state to be ashamed")</f>
        <v>With a state to be ashamed</v>
      </c>
    </row>
    <row r="1272" spans="1:3" ht="14.25" customHeight="1" x14ac:dyDescent="0.3">
      <c r="A1272" s="3" t="s">
        <v>2533</v>
      </c>
      <c r="B1272" s="6" t="s">
        <v>2534</v>
      </c>
      <c r="C1272" s="5" t="str">
        <f ca="1">IFERROR(__xludf.DUMMYFUNCTION("GOOGLETRANSLATE(B1272, ""tr"", ""en"" )"),"Boredom, anger and resentment to be evident from the facial expression")</f>
        <v>Boredom, anger and resentment to be evident from the facial expression</v>
      </c>
    </row>
    <row r="1273" spans="1:3" ht="14.25" customHeight="1" x14ac:dyDescent="0.3">
      <c r="A1273" s="3" t="s">
        <v>2535</v>
      </c>
      <c r="B1273" s="6" t="s">
        <v>2536</v>
      </c>
      <c r="C1273" s="5" t="str">
        <f ca="1">IFERROR(__xludf.DUMMYFUNCTION("GOOGLETRANSLATE(B1273, ""tr"", ""en"" )"),"Understanding what he feels, his situation")</f>
        <v>Understanding what he feels, his situation</v>
      </c>
    </row>
    <row r="1274" spans="1:3" ht="14.25" customHeight="1" x14ac:dyDescent="0.3">
      <c r="A1274" s="3" t="s">
        <v>2537</v>
      </c>
      <c r="B1274" s="6" t="s">
        <v>2538</v>
      </c>
      <c r="C1274" s="5" t="str">
        <f ca="1">IFERROR(__xludf.DUMMYFUNCTION("GOOGLETRANSLATE(B1274, ""tr"", ""en"" )"),"to be evident from the flushing face that he has regained health; pale color")</f>
        <v>to be evident from the flushing face that he has regained health; pale color</v>
      </c>
    </row>
    <row r="1275" spans="1:3" ht="14.25" customHeight="1" x14ac:dyDescent="0.3">
      <c r="A1275" s="3" t="s">
        <v>2539</v>
      </c>
      <c r="B1275" s="6" t="s">
        <v>2540</v>
      </c>
      <c r="C1275" s="5" t="str">
        <f ca="1">IFERROR(__xludf.DUMMYFUNCTION("GOOGLETRANSLATE(B1275, ""tr"", ""en"" )"),"To show that he is uncomfortable, that he is not satisfied, that he feels anger in his face")</f>
        <v>To show that he is uncomfortable, that he is not satisfied, that he feels anger in his face</v>
      </c>
    </row>
    <row r="1276" spans="1:3" ht="14.25" customHeight="1" x14ac:dyDescent="0.3">
      <c r="A1276" s="3" t="s">
        <v>2541</v>
      </c>
      <c r="B1276" s="6" t="s">
        <v>2542</v>
      </c>
      <c r="C1276" s="5" t="str">
        <f ca="1">IFERROR(__xludf.DUMMYFUNCTION("GOOGLETRANSLATE(B1276, ""tr"", ""en"" )"),"Those who do not appear around for a long time")</f>
        <v>Those who do not appear around for a long time</v>
      </c>
    </row>
    <row r="1277" spans="1:3" ht="14.25" customHeight="1" x14ac:dyDescent="0.3">
      <c r="A1277" s="3" t="s">
        <v>2543</v>
      </c>
      <c r="B1277" s="6" t="s">
        <v>2544</v>
      </c>
      <c r="C1277" s="5" t="str">
        <f ca="1">IFERROR(__xludf.DUMMYFUNCTION("GOOGLETRANSLATE(B1277, ""tr"", ""en"" )"),"Embarrassing someone with a job or behavior he does, making them embarrassed")</f>
        <v>Embarrassing someone with a job or behavior he does, making them embarrassed</v>
      </c>
    </row>
    <row r="1278" spans="1:3" ht="14.25" customHeight="1" x14ac:dyDescent="0.3">
      <c r="A1278" s="3" t="s">
        <v>2545</v>
      </c>
      <c r="B1278" s="6" t="s">
        <v>2546</v>
      </c>
      <c r="C1278" s="5" t="str">
        <f ca="1">IFERROR(__xludf.DUMMYFUNCTION("GOOGLETRANSLATE(B1278, ""tr"", ""en"" )"),"Getting out of a job and getting success from that job, damaging your dignity, getting out of a situation to be ashamed")</f>
        <v>Getting out of a job and getting success from that job, damaging your dignity, getting out of a situation to be ashamed</v>
      </c>
    </row>
    <row r="1279" spans="1:3" ht="14.25" customHeight="1" x14ac:dyDescent="0.3">
      <c r="A1279" s="3" t="s">
        <v>2547</v>
      </c>
      <c r="B1279" s="6" t="s">
        <v>2548</v>
      </c>
      <c r="C1279" s="5" t="str">
        <f ca="1">IFERROR(__xludf.DUMMYFUNCTION("GOOGLETRANSLATE(B1279, ""tr"", ""en"" )"),"To be understood that he is not satisfied with his face, to be sullen -faced")</f>
        <v>To be understood that he is not satisfied with his face, to be sullen -faced</v>
      </c>
    </row>
    <row r="1280" spans="1:3" ht="14.25" customHeight="1" x14ac:dyDescent="0.3">
      <c r="A1280" s="3" t="s">
        <v>2549</v>
      </c>
      <c r="B1280" s="6" t="s">
        <v>2550</v>
      </c>
      <c r="C1280" s="5" t="str">
        <f ca="1">IFERROR(__xludf.DUMMYFUNCTION("GOOGLETRANSLATE(B1280, ""tr"", ""en"" )"),"In an unpretentious situation, quit halfway")</f>
        <v>In an unpretentious situation, quit halfway</v>
      </c>
    </row>
    <row r="1281" spans="1:3" ht="14.25" customHeight="1" x14ac:dyDescent="0.3">
      <c r="A1281" s="3" t="s">
        <v>2551</v>
      </c>
      <c r="B1281" s="6" t="s">
        <v>2552</v>
      </c>
      <c r="C1281" s="5" t="str">
        <f ca="1">IFERROR(__xludf.DUMMYFUNCTION("GOOGLETRANSLATE(B1281, ""tr"", ""en"" )"),"Because it is valued for a person's memory")</f>
        <v>Because it is valued for a person's memory</v>
      </c>
    </row>
    <row r="1282" spans="1:3" ht="14.25" customHeight="1" x14ac:dyDescent="0.3">
      <c r="A1282" s="3" t="s">
        <v>2553</v>
      </c>
      <c r="B1282" s="6" t="s">
        <v>2554</v>
      </c>
      <c r="C1282" s="5" t="str">
        <f ca="1">IFERROR(__xludf.DUMMYFUNCTION("GOOGLETRANSLATE(B1282, ""tr"", ""en"" )"),"To ask for something or to be afraid of saying, not to dare")</f>
        <v>To ask for something or to be afraid of saying, not to dare</v>
      </c>
    </row>
    <row r="1283" spans="1:3" ht="14.25" customHeight="1" x14ac:dyDescent="0.3">
      <c r="A1283" s="3" t="s">
        <v>2555</v>
      </c>
      <c r="B1283" s="6" t="s">
        <v>2556</v>
      </c>
      <c r="C1283" s="5" t="str">
        <f ca="1">IFERROR(__xludf.DUMMYFUNCTION("GOOGLETRANSLATE(B1283, ""tr"", ""en"" )"),"To pamper by fulfilling whatever he wants; causing them to make unhealthy movements by showing closeness, acting tolerance")</f>
        <v>To pamper by fulfilling whatever he wants; causing them to make unhealthy movements by showing closeness, acting tolerance</v>
      </c>
    </row>
    <row r="1284" spans="1:3" ht="14.25" customHeight="1" x14ac:dyDescent="0.3">
      <c r="A1284" s="3" t="s">
        <v>2557</v>
      </c>
      <c r="B1284" s="6" t="s">
        <v>2558</v>
      </c>
      <c r="C1284" s="5" t="str">
        <f ca="1">IFERROR(__xludf.DUMMYFUNCTION("GOOGLETRANSLATE(B1284, ""tr"", ""en"" )"),"To be in close relationship and continue these relationships for a while")</f>
        <v>To be in close relationship and continue these relationships for a while</v>
      </c>
    </row>
    <row r="1285" spans="1:3" ht="14.25" customHeight="1" x14ac:dyDescent="0.3">
      <c r="A1285" s="3" t="s">
        <v>2559</v>
      </c>
      <c r="B1285" s="6" t="s">
        <v>2560</v>
      </c>
      <c r="C1285" s="5" t="str">
        <f ca="1">IFERROR(__xludf.DUMMYFUNCTION("GOOGLETRANSLATE(B1285, ""tr"", ""en"" )"),"To endure distress, difficulty, fatigue and torment")</f>
        <v>To endure distress, difficulty, fatigue and torment</v>
      </c>
    </row>
    <row r="1286" spans="1:3" ht="14.25" customHeight="1" x14ac:dyDescent="0.3">
      <c r="A1286" s="3" t="s">
        <v>2561</v>
      </c>
      <c r="B1286" s="6" t="s">
        <v>2562</v>
      </c>
      <c r="C1286" s="5" t="str">
        <f ca="1">IFERROR(__xludf.DUMMYFUNCTION("GOOGLETRANSLATE(B1286, ""tr"", ""en"" )"),"To give someone distress, difficulty and fatigue; costly")</f>
        <v>To give someone distress, difficulty and fatigue; costly</v>
      </c>
    </row>
    <row r="1287" spans="1:3" ht="14.25" customHeight="1" x14ac:dyDescent="0.3">
      <c r="A1287" s="3" t="s">
        <v>2563</v>
      </c>
      <c r="B1287" s="6" t="s">
        <v>2564</v>
      </c>
      <c r="C1287" s="5" t="str">
        <f ca="1">IFERROR(__xludf.DUMMYFUNCTION("GOOGLETRANSLATE(B1287, ""tr"", ""en"" )"),"Expect an appropriate opportunity")</f>
        <v>Expect an appropriate opportunity</v>
      </c>
    </row>
    <row r="1288" spans="1:3" ht="14.25" customHeight="1" x14ac:dyDescent="0.3">
      <c r="A1288" s="3" t="s">
        <v>2565</v>
      </c>
      <c r="B1288" s="6" t="s">
        <v>2566</v>
      </c>
      <c r="C1288" s="5" t="str">
        <f ca="1">IFERROR(__xludf.DUMMYFUNCTION("GOOGLETRANSLATE(B1288, ""tr"", ""en"" )"),"Missing the taste of something, putting it into a bad situation when it's fine")</f>
        <v>Missing the taste of something, putting it into a bad situation when it's fine</v>
      </c>
    </row>
    <row r="1289" spans="1:3" ht="14.25" customHeight="1" x14ac:dyDescent="0.3">
      <c r="A1289" s="3" t="s">
        <v>2567</v>
      </c>
      <c r="B1289" s="6" t="s">
        <v>2568</v>
      </c>
      <c r="C1289" s="5" t="str">
        <f ca="1">IFERROR(__xludf.DUMMYFUNCTION("GOOGLETRANSLATE(B1289, ""tr"", ""en"" )"),"Very painful word that works into man and damages his dignity")</f>
        <v>Very painful word that works into man and damages his dignity</v>
      </c>
    </row>
    <row r="1290" spans="1:3" ht="14.25" customHeight="1" x14ac:dyDescent="0.3">
      <c r="A1290" s="3" t="s">
        <v>2569</v>
      </c>
      <c r="B1290" s="6" t="s">
        <v>2570</v>
      </c>
      <c r="C1290" s="5" t="str">
        <f ca="1">IFERROR(__xludf.DUMMYFUNCTION("GOOGLETRANSLATE(B1290, ""tr"", ""en"" )"),"Preparing a suitable environment for the realization of a job")</f>
        <v>Preparing a suitable environment for the realization of a job</v>
      </c>
    </row>
    <row r="1291" spans="1:3" ht="14.25" customHeight="1" x14ac:dyDescent="0.3">
      <c r="A1291" s="3" t="s">
        <v>2571</v>
      </c>
      <c r="B1291" s="6" t="s">
        <v>2572</v>
      </c>
      <c r="C1291" s="5" t="str">
        <f ca="1">IFERROR(__xludf.DUMMYFUNCTION("GOOGLETRANSLATE(B1291, ""tr"", ""en"" )"),"Less than ever")</f>
        <v>Less than ever</v>
      </c>
    </row>
    <row r="1292" spans="1:3" ht="14.25" customHeight="1" x14ac:dyDescent="0.3">
      <c r="A1292" s="3" t="s">
        <v>2573</v>
      </c>
      <c r="B1292" s="6" t="s">
        <v>2574</v>
      </c>
      <c r="C1292" s="5" t="str">
        <f ca="1">IFERROR(__xludf.DUMMYFUNCTION("GOOGLETRANSLATE(B1292, ""tr"", ""en"" )"),"Not to waste harm, protect")</f>
        <v>Not to waste harm, protect</v>
      </c>
    </row>
    <row r="1293" spans="1:3" ht="14.25" customHeight="1" x14ac:dyDescent="0.3">
      <c r="A1293" s="3" t="s">
        <v>2575</v>
      </c>
      <c r="B1293" s="6" t="s">
        <v>2576</v>
      </c>
      <c r="C1293" s="5" t="str">
        <f ca="1">IFERROR(__xludf.DUMMYFUNCTION("GOOGLETRANSLATE(B1293, ""tr"", ""en"" )"),"To be very happy to be very happy, to be very happy and to enjoy and to enjoy extreme")</f>
        <v>To be very happy to be very happy, to be very happy and to enjoy and to enjoy extreme</v>
      </c>
    </row>
    <row r="1294" spans="1:3" ht="14.25" customHeight="1" x14ac:dyDescent="0.3">
      <c r="A1294" s="3" t="s">
        <v>2577</v>
      </c>
      <c r="B1294" s="6" t="s">
        <v>2578</v>
      </c>
      <c r="C1294" s="5" t="str">
        <f ca="1">IFERROR(__xludf.DUMMYFUNCTION("GOOGLETRANSLATE(B1294, ""tr"", ""en"" )"),"Trying to raise himself right or not guilty by cunning")</f>
        <v>Trying to raise himself right or not guilty by cunning</v>
      </c>
    </row>
    <row r="1295" spans="1:3" ht="14.25" customHeight="1" x14ac:dyDescent="0.3">
      <c r="A1295" s="3" t="s">
        <v>2579</v>
      </c>
      <c r="B1295" s="6" t="s">
        <v>2580</v>
      </c>
      <c r="C1295" s="5" t="str">
        <f ca="1">IFERROR(__xludf.DUMMYFUNCTION("GOOGLETRANSLATE(B1295, ""tr"", ""en"" )"),"Annoy the other person, disrupt your nervous; act contrary to something")</f>
        <v>Annoy the other person, disrupt your nervous; act contrary to something</v>
      </c>
    </row>
    <row r="1296" spans="1:3" ht="14.25" customHeight="1" x14ac:dyDescent="0.3">
      <c r="A1296" s="3" t="s">
        <v>2581</v>
      </c>
      <c r="B1296" s="6" t="s">
        <v>2582</v>
      </c>
      <c r="C1296" s="5" t="str">
        <f ca="1">IFERROR(__xludf.DUMMYFUNCTION("GOOGLETRANSLATE(B1296, ""tr"", ""en"" )"),"To be scolded, to share")</f>
        <v>To be scolded, to share</v>
      </c>
    </row>
    <row r="1297" spans="1:3" ht="14.25" customHeight="1" x14ac:dyDescent="0.3">
      <c r="A1297" s="3" t="s">
        <v>2583</v>
      </c>
      <c r="B1297" s="6" t="s">
        <v>2584</v>
      </c>
      <c r="C1297" s="5" t="str">
        <f ca="1">IFERROR(__xludf.DUMMYFUNCTION("GOOGLETRANSLATE(B1297, ""tr"", ""en"" )"),"Suddenly, suddenly stop")</f>
        <v>Suddenly, suddenly stop</v>
      </c>
    </row>
    <row r="1298" spans="1:3" ht="14.25" customHeight="1" x14ac:dyDescent="0.3">
      <c r="A1298" s="3" t="s">
        <v>2585</v>
      </c>
      <c r="B1298" s="6" t="s">
        <v>2586</v>
      </c>
      <c r="C1298" s="5" t="str">
        <f ca="1">IFERROR(__xludf.DUMMYFUNCTION("GOOGLETRANSLATE(B1298, ""tr"", ""en"" )"),"Not to give a little or the slightest thing")</f>
        <v>Not to give a little or the slightest thing</v>
      </c>
    </row>
    <row r="1299" spans="1:3" ht="14.25" customHeight="1" x14ac:dyDescent="0.3">
      <c r="A1299" s="3" t="s">
        <v>2587</v>
      </c>
      <c r="B1299" s="6" t="s">
        <v>2588</v>
      </c>
      <c r="C1299" s="5" t="str">
        <f ca="1">IFERROR(__xludf.DUMMYFUNCTION("GOOGLETRANSLATE(B1299, ""tr"", ""en"" )"),"To get very angry and get angry, to make floods")</f>
        <v>To get very angry and get angry, to make floods</v>
      </c>
    </row>
    <row r="1300" spans="1:3" ht="14.25" customHeight="1" x14ac:dyDescent="0.3">
      <c r="A1300" s="3" t="s">
        <v>2589</v>
      </c>
      <c r="B1300" s="6" t="s">
        <v>2590</v>
      </c>
      <c r="C1300" s="5" t="str">
        <f ca="1">IFERROR(__xludf.DUMMYFUNCTION("GOOGLETRANSLATE(B1300, ""tr"", ""en"" )"),"Being not being able to think healthy, losing the connection between events, surprise what to do")</f>
        <v>Being not being able to think healthy, losing the connection between events, surprise what to do</v>
      </c>
    </row>
    <row r="1301" spans="1:3" ht="14.25" customHeight="1" x14ac:dyDescent="0.3">
      <c r="A1301" s="3" t="s">
        <v>2591</v>
      </c>
      <c r="B1301" s="6" t="s">
        <v>2592</v>
      </c>
      <c r="C1301" s="5" t="str">
        <f ca="1">IFERROR(__xludf.DUMMYFUNCTION("GOOGLETRANSLATE(B1301, ""tr"", ""en"" )"),"Doubt")</f>
        <v>Doubt</v>
      </c>
    </row>
    <row r="1302" spans="1:3" ht="14.25" customHeight="1" x14ac:dyDescent="0.3">
      <c r="A1302" s="3" t="s">
        <v>2593</v>
      </c>
      <c r="B1302" s="6" t="s">
        <v>2594</v>
      </c>
      <c r="C1302" s="5" t="str">
        <f ca="1">IFERROR(__xludf.DUMMYFUNCTION("GOOGLETRANSLATE(B1302, ""tr"", ""en"" )"),"Trying to understand and comprehend something stuck in your mind")</f>
        <v>Trying to understand and comprehend something stuck in your mind</v>
      </c>
    </row>
    <row r="1303" spans="1:3" ht="14.25" customHeight="1" x14ac:dyDescent="0.3">
      <c r="A1303" s="3" t="s">
        <v>2595</v>
      </c>
      <c r="B1303" s="6" t="s">
        <v>2596</v>
      </c>
      <c r="C1303" s="5" t="str">
        <f ca="1">IFERROR(__xludf.DUMMYFUNCTION("GOOGLETRANSLATE(B1303, ""tr"", ""en"" )"),"Be happy with")</f>
        <v>Be happy with</v>
      </c>
    </row>
    <row r="1304" spans="1:3" ht="14.25" customHeight="1" x14ac:dyDescent="0.3">
      <c r="A1304" s="3" t="s">
        <v>2597</v>
      </c>
      <c r="B1304" s="6" t="s">
        <v>2598</v>
      </c>
      <c r="C1304" s="5" t="str">
        <f ca="1">IFERROR(__xludf.DUMMYFUNCTION("GOOGLETRANSLATE(B1304, ""tr"", ""en"" )"),"Welcome guests by giving food")</f>
        <v>Welcome guests by giving food</v>
      </c>
    </row>
    <row r="1305" spans="1:3" ht="14.25" customHeight="1" x14ac:dyDescent="0.3">
      <c r="A1305" s="3" t="s">
        <v>2599</v>
      </c>
      <c r="B1305" s="6" t="s">
        <v>2600</v>
      </c>
      <c r="C1305" s="5" t="str">
        <f ca="1">IFERROR(__xludf.DUMMYFUNCTION("GOOGLETRANSLATE(B1305, ""tr"", ""en"" )"),"Be deceived and damaged")</f>
        <v>Be deceived and damaged</v>
      </c>
    </row>
    <row r="1306" spans="1:3" ht="14.25" customHeight="1" x14ac:dyDescent="0.3">
      <c r="A1306" s="3" t="s">
        <v>2601</v>
      </c>
      <c r="B1306" s="6" t="s">
        <v>2602</v>
      </c>
      <c r="C1306" s="5" t="str">
        <f ca="1">IFERROR(__xludf.DUMMYFUNCTION("GOOGLETRANSLATE(B1306, ""tr"", ""en"" )"),"Business becomes harder, but to be able to take care of it by force")</f>
        <v>Business becomes harder, but to be able to take care of it by force</v>
      </c>
    </row>
    <row r="1307" spans="1:3" ht="14.25" customHeight="1" x14ac:dyDescent="0.3">
      <c r="A1307" s="3" t="s">
        <v>2603</v>
      </c>
      <c r="B1307" s="6" t="s">
        <v>2604</v>
      </c>
      <c r="C1307" s="5" t="str">
        <f ca="1">IFERROR(__xludf.DUMMYFUNCTION("GOOGLETRANSLATE(B1307, ""tr"", ""en"" )"),"Not being able to endure distress and pressure, not being able to be patient")</f>
        <v>Not being able to endure distress and pressure, not being able to be patient</v>
      </c>
    </row>
    <row r="1308" spans="1:3" ht="14.25" customHeight="1" x14ac:dyDescent="0.3">
      <c r="A1308" s="3" t="s">
        <v>2605</v>
      </c>
      <c r="B1308" s="6" t="s">
        <v>2606</v>
      </c>
      <c r="C1308" s="5" t="str">
        <f ca="1">IFERROR(__xludf.DUMMYFUNCTION("GOOGLETRANSLATE(B1308, ""tr"", ""en"" )"),"A problem that forces him to be a problem")</f>
        <v>A problem that forces him to be a problem</v>
      </c>
    </row>
    <row r="1309" spans="1:3" ht="14.25" customHeight="1" x14ac:dyDescent="0.3">
      <c r="A1309" s="3" t="s">
        <v>2607</v>
      </c>
      <c r="B1309" s="6" t="s">
        <v>2608</v>
      </c>
      <c r="C1309" s="5" t="str">
        <f ca="1">IFERROR(__xludf.DUMMYFUNCTION("GOOGLETRANSLATE(B1309, ""tr"", ""en"" )"),"The most sensitive, most important point of the work being done")</f>
        <v>The most sensitive, most important point of the work being done</v>
      </c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ورقة1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Kevser Cansu</dc:creator>
  <cp:lastModifiedBy>Kevser Cansu</cp:lastModifiedBy>
  <dcterms:created xsi:type="dcterms:W3CDTF">2015-06-05T18:17:20Z</dcterms:created>
  <dcterms:modified xsi:type="dcterms:W3CDTF">2022-06-14T20:49:41Z</dcterms:modified>
</cp:coreProperties>
</file>