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ources" sheetId="1" state="visible" r:id="rId2"/>
    <sheet name="Worm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<sst xmlns="http://schemas.openxmlformats.org/spreadsheetml/2006/main" count="73" uniqueCount="63">
  <si>
    <t xml:space="preserve">constants</t>
  </si>
  <si>
    <t xml:space="preserve">deme#</t>
  </si>
  <si>
    <t xml:space="preserve">dens_dep</t>
  </si>
  <si>
    <t xml:space="preserve">unconstr_grow</t>
  </si>
  <si>
    <t xml:space="preserve">assim_eff</t>
  </si>
  <si>
    <t xml:space="preserve">grow_noi_stdev</t>
  </si>
  <si>
    <t xml:space="preserve">max_abundance</t>
  </si>
  <si>
    <t xml:space="preserve">inds_on_prey</t>
  </si>
  <si>
    <t xml:space="preserve">abundance</t>
  </si>
  <si>
    <t xml:space="preserve">Prey 0</t>
  </si>
  <si>
    <t xml:space="preserve">Prey 1</t>
  </si>
  <si>
    <t xml:space="preserve">Prey 2</t>
  </si>
  <si>
    <t xml:space="preserve">step_1</t>
  </si>
  <si>
    <t xml:space="preserve">deme_const</t>
  </si>
  <si>
    <t xml:space="preserve">ont_cons</t>
  </si>
  <si>
    <t xml:space="preserve">ont_coeff</t>
  </si>
  <si>
    <t xml:space="preserve">pis_prob</t>
  </si>
  <si>
    <t xml:space="preserve">l_w_coeff</t>
  </si>
  <si>
    <t xml:space="preserve">l_w_exp</t>
  </si>
  <si>
    <t xml:space="preserve">handing_time</t>
  </si>
  <si>
    <t xml:space="preserve">F_size_mat</t>
  </si>
  <si>
    <t xml:space="preserve">M_size_mat</t>
  </si>
  <si>
    <t xml:space="preserve">conv_eff</t>
  </si>
  <si>
    <t xml:space="preserve">func_resp</t>
  </si>
  <si>
    <t xml:space="preserve">allo_met_coeff</t>
  </si>
  <si>
    <t xml:space="preserve">allo_met_exp</t>
  </si>
  <si>
    <t xml:space="preserve">allo_max_coeff</t>
  </si>
  <si>
    <t xml:space="preserve">allo_max_exp</t>
  </si>
  <si>
    <t xml:space="preserve">juv_cond</t>
  </si>
  <si>
    <t xml:space="preserve">mat_cond</t>
  </si>
  <si>
    <t xml:space="preserve">eff_starv</t>
  </si>
  <si>
    <t xml:space="preserve">size_mort_cons</t>
  </si>
  <si>
    <t xml:space="preserve">size_mort_coeff</t>
  </si>
  <si>
    <t xml:space="preserve">mean#_samp</t>
  </si>
  <si>
    <t xml:space="preserve">avail_res_1</t>
  </si>
  <si>
    <t xml:space="preserve">satia_res_1</t>
  </si>
  <si>
    <t xml:space="preserve">avail_res_2</t>
  </si>
  <si>
    <t xml:space="preserve">satia_res_2</t>
  </si>
  <si>
    <t xml:space="preserve">avail_res_3</t>
  </si>
  <si>
    <t xml:space="preserve">satia_res_3</t>
  </si>
  <si>
    <t xml:space="preserve">irrev_mas_0</t>
  </si>
  <si>
    <t xml:space="preserve">rev_mas_0</t>
  </si>
  <si>
    <t xml:space="preserve">juv_kappa</t>
  </si>
  <si>
    <t xml:space="preserve">mat_kappa</t>
  </si>
  <si>
    <t xml:space="preserve">.</t>
  </si>
  <si>
    <t xml:space="preserve">inds#</t>
  </si>
  <si>
    <t xml:space="preserve">irrev_mas</t>
  </si>
  <si>
    <t xml:space="preserve">rev_mas</t>
  </si>
  <si>
    <t xml:space="preserve">max_consu</t>
  </si>
  <si>
    <t xml:space="preserve">bodylength</t>
  </si>
  <si>
    <t xml:space="preserve">%ad_res_eat</t>
  </si>
  <si>
    <t xml:space="preserve">%ju_resour</t>
  </si>
  <si>
    <t xml:space="preserve">Force Piscivory</t>
  </si>
  <si>
    <t xml:space="preserve">prey_1_eat</t>
  </si>
  <si>
    <t xml:space="preserve">prey_2_eat</t>
  </si>
  <si>
    <t xml:space="preserve">prey_3_eat</t>
  </si>
  <si>
    <t xml:space="preserve">Eg</t>
  </si>
  <si>
    <t xml:space="preserve">Kappa</t>
  </si>
  <si>
    <t xml:space="preserve">Sex</t>
  </si>
  <si>
    <t xml:space="preserve">Egg Size</t>
  </si>
  <si>
    <t xml:space="preserve">max subpop</t>
  </si>
  <si>
    <t xml:space="preserve">fecund score</t>
  </si>
  <si>
    <t xml:space="preserve">surplus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</si>
</sst>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00"/>
    <numFmt numFmtId="166" formatCode="0.0000000000000"/>
    <numFmt numFmtId="167" formatCode="0.00000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5" zeroHeight="false" outlineLevelRow="0" outlineLevelCol="0"/>
  <cols>
    <col collapsed="false" customWidth="true" hidden="false" outlineLevel="0" max="1025" min="1" style="1" width="10.83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AMJ1" s="0"/>
    </row>
    <row r="2" customFormat="false" ht="15" hidden="false" customHeight="false" outlineLevel="0" collapsed="false">
      <c r="A2" s="5" t="s">
        <v>9</v>
      </c>
      <c r="B2" s="6" t="n">
        <v>1</v>
      </c>
      <c r="C2" s="7" t="n">
        <v>5000000</v>
      </c>
      <c r="D2" s="7" t="n">
        <v>4.5</v>
      </c>
      <c r="E2" s="7" t="n">
        <v>1</v>
      </c>
      <c r="F2" s="7" t="n">
        <v>0.5</v>
      </c>
      <c r="G2" s="7" t="n">
        <v>17500000</v>
      </c>
      <c r="H2" s="8" t="n">
        <f aca="false">SUM(Worms!J11:J20)</f>
        <v>204.666985770754</v>
      </c>
      <c r="I2" s="4" t="n">
        <v>175000</v>
      </c>
      <c r="AMJ2" s="0"/>
    </row>
    <row r="3" customFormat="false" ht="15" hidden="false" customHeight="false" outlineLevel="0" collapsed="false">
      <c r="A3" s="5"/>
      <c r="B3" s="9" t="n">
        <v>2</v>
      </c>
      <c r="C3" s="10" t="n">
        <v>5000000</v>
      </c>
      <c r="D3" s="10" t="n">
        <v>4.5</v>
      </c>
      <c r="E3" s="10" t="n">
        <v>1</v>
      </c>
      <c r="F3" s="10" t="n">
        <v>0.5</v>
      </c>
      <c r="G3" s="10" t="n">
        <v>17500000</v>
      </c>
      <c r="H3" s="11" t="n">
        <f aca="false">SUM(Worms!J21:J30)</f>
        <v>2124.59629769811</v>
      </c>
      <c r="I3" s="12" t="n">
        <v>17500000</v>
      </c>
      <c r="AMJ3" s="0"/>
    </row>
    <row r="4" customFormat="false" ht="15" hidden="false" customHeight="false" outlineLevel="0" collapsed="false">
      <c r="A4" s="5" t="s">
        <v>10</v>
      </c>
      <c r="B4" s="6" t="n">
        <v>1</v>
      </c>
      <c r="C4" s="7" t="n">
        <v>1000000</v>
      </c>
      <c r="D4" s="7" t="n">
        <v>3</v>
      </c>
      <c r="E4" s="7" t="n">
        <v>1</v>
      </c>
      <c r="F4" s="7" t="n">
        <v>0.15</v>
      </c>
      <c r="G4" s="7" t="n">
        <v>2000000</v>
      </c>
      <c r="H4" s="8" t="n">
        <f aca="false">SUM(Worms!K11:K20)</f>
        <v>1.4370320464128</v>
      </c>
      <c r="I4" s="4" t="n">
        <v>20000</v>
      </c>
      <c r="AMJ4" s="0"/>
    </row>
    <row r="5" customFormat="false" ht="15" hidden="false" customHeight="false" outlineLevel="0" collapsed="false">
      <c r="A5" s="5"/>
      <c r="B5" s="13" t="n">
        <v>2</v>
      </c>
      <c r="C5" s="14" t="n">
        <v>1000000</v>
      </c>
      <c r="D5" s="14" t="n">
        <v>3</v>
      </c>
      <c r="E5" s="14" t="n">
        <v>1</v>
      </c>
      <c r="F5" s="14" t="n">
        <v>0.15</v>
      </c>
      <c r="G5" s="14" t="n">
        <v>2000000</v>
      </c>
      <c r="H5" s="15" t="n">
        <f aca="false">SUM(Worms!K21:K30)</f>
        <v>14.9174668009326</v>
      </c>
      <c r="I5" s="16" t="n">
        <v>2000000</v>
      </c>
      <c r="AMJ5" s="0"/>
    </row>
    <row r="6" customFormat="false" ht="15" hidden="false" customHeight="false" outlineLevel="0" collapsed="false">
      <c r="A6" s="5" t="s">
        <v>11</v>
      </c>
      <c r="B6" s="9" t="n">
        <v>1</v>
      </c>
      <c r="C6" s="10" t="n">
        <v>5035000</v>
      </c>
      <c r="D6" s="10" t="n">
        <v>1.18412</v>
      </c>
      <c r="E6" s="10" t="n">
        <v>1</v>
      </c>
      <c r="F6" s="10" t="n">
        <v>0.15</v>
      </c>
      <c r="G6" s="10" t="n">
        <v>1007000</v>
      </c>
      <c r="H6" s="11" t="n">
        <f aca="false">SUM(Worms!L11:L20)</f>
        <v>1.4370320464128</v>
      </c>
      <c r="I6" s="12" t="n">
        <v>10070</v>
      </c>
      <c r="AMJ6" s="0"/>
    </row>
    <row r="7" customFormat="false" ht="15" hidden="false" customHeight="false" outlineLevel="0" collapsed="false">
      <c r="A7" s="5"/>
      <c r="B7" s="13" t="n">
        <v>2</v>
      </c>
      <c r="C7" s="14" t="n">
        <v>5035000</v>
      </c>
      <c r="D7" s="14" t="n">
        <v>1.18412</v>
      </c>
      <c r="E7" s="14" t="n">
        <v>1</v>
      </c>
      <c r="F7" s="14" t="n">
        <v>0.15</v>
      </c>
      <c r="G7" s="14" t="n">
        <v>1007000</v>
      </c>
      <c r="H7" s="15" t="n">
        <f aca="false">SUM(Worms!L21:L30)</f>
        <v>14.9174668009326</v>
      </c>
      <c r="I7" s="16" t="n">
        <v>1007000</v>
      </c>
      <c r="AMJ7" s="0"/>
    </row>
    <row r="11" customFormat="false" ht="15" hidden="false" customHeight="false" outlineLevel="0" collapsed="false">
      <c r="A11" s="2" t="s">
        <v>12</v>
      </c>
      <c r="B11" s="17" t="s">
        <v>1</v>
      </c>
      <c r="C11" s="5" t="s">
        <v>8</v>
      </c>
      <c r="D11" s="5"/>
    </row>
    <row r="12" customFormat="false" ht="15" hidden="false" customHeight="false" outlineLevel="0" collapsed="false">
      <c r="A12" s="5" t="s">
        <v>9</v>
      </c>
      <c r="B12" s="10" t="n">
        <v>1</v>
      </c>
      <c r="C12" s="18" t="n">
        <f aca="false">D2*I2/(1+I2/C2)-H2</f>
        <v>760664.898231621</v>
      </c>
      <c r="D12" s="18"/>
    </row>
    <row r="13" customFormat="false" ht="15" hidden="false" customHeight="false" outlineLevel="0" collapsed="false">
      <c r="A13" s="5"/>
      <c r="B13" s="14" t="n">
        <v>2</v>
      </c>
      <c r="C13" s="18" t="n">
        <f aca="false">D3*I3/(1+I3/C3)-H3</f>
        <v>17497875.4037023</v>
      </c>
      <c r="D13" s="18"/>
    </row>
    <row r="14" customFormat="false" ht="15" hidden="false" customHeight="false" outlineLevel="0" collapsed="false">
      <c r="A14" s="5" t="s">
        <v>10</v>
      </c>
      <c r="B14" s="10" t="n">
        <v>1</v>
      </c>
      <c r="C14" s="18" t="n">
        <f aca="false">D4*I4/(1+I4/C4)-H4</f>
        <v>58822.0923797183</v>
      </c>
      <c r="D14" s="18"/>
    </row>
    <row r="15" customFormat="false" ht="15" hidden="false" customHeight="false" outlineLevel="0" collapsed="false">
      <c r="A15" s="5"/>
      <c r="B15" s="14" t="n">
        <v>2</v>
      </c>
      <c r="C15" s="18" t="n">
        <f aca="false">D5*I5/(1+I5/C5)-H5</f>
        <v>1999985.0825332</v>
      </c>
      <c r="D15" s="18"/>
    </row>
    <row r="16" customFormat="false" ht="15" hidden="false" customHeight="false" outlineLevel="0" collapsed="false">
      <c r="A16" s="5" t="s">
        <v>11</v>
      </c>
      <c r="B16" s="10" t="n">
        <v>1</v>
      </c>
      <c r="C16" s="18" t="n">
        <f aca="false">D6*I6/(1+I6/C6)-H6</f>
        <v>11898.8507923049</v>
      </c>
      <c r="D16" s="18"/>
    </row>
    <row r="17" customFormat="false" ht="15" hidden="false" customHeight="false" outlineLevel="0" collapsed="false">
      <c r="A17" s="5"/>
      <c r="B17" s="14" t="n">
        <v>2</v>
      </c>
      <c r="C17" s="18" t="n">
        <f aca="false">D7*I7/(1+I7/C7)-H7</f>
        <v>993659.115866533</v>
      </c>
      <c r="D17" s="18"/>
    </row>
  </sheetData>
  <mergeCells count="13">
    <mergeCell ref="A2:A3"/>
    <mergeCell ref="A4:A5"/>
    <mergeCell ref="A6:A7"/>
    <mergeCell ref="C11:D11"/>
    <mergeCell ref="A12:A13"/>
    <mergeCell ref="C12:D12"/>
    <mergeCell ref="C13:D13"/>
    <mergeCell ref="A14:A15"/>
    <mergeCell ref="C14:D14"/>
    <mergeCell ref="C15:D15"/>
    <mergeCell ref="A16:A17"/>
    <mergeCell ref="C16:D16"/>
    <mergeCell ref="C17:D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0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U22" activeCellId="0" sqref="U22"/>
    </sheetView>
  </sheetViews>
  <sheetFormatPr defaultRowHeight="15" zeroHeight="false" outlineLevelRow="0" outlineLevelCol="0"/>
  <cols>
    <col collapsed="false" customWidth="true" hidden="false" outlineLevel="0" max="1025" min="1" style="19" width="10.83"/>
  </cols>
  <sheetData>
    <row r="1" customFormat="false" ht="15" hidden="false" customHeight="false" outlineLevel="0" collapsed="false">
      <c r="A1" s="19" t="s">
        <v>13</v>
      </c>
      <c r="B1" s="19" t="s">
        <v>14</v>
      </c>
      <c r="C1" s="19" t="s">
        <v>15</v>
      </c>
      <c r="D1" s="19" t="s">
        <v>16</v>
      </c>
      <c r="E1" s="19" t="s">
        <v>17</v>
      </c>
      <c r="F1" s="19" t="s">
        <v>18</v>
      </c>
      <c r="G1" s="19" t="s">
        <v>19</v>
      </c>
      <c r="H1" s="19" t="s">
        <v>20</v>
      </c>
      <c r="I1" s="19" t="s">
        <v>21</v>
      </c>
      <c r="J1" s="19" t="s">
        <v>22</v>
      </c>
      <c r="K1" s="19" t="s">
        <v>23</v>
      </c>
      <c r="L1" s="19" t="s">
        <v>24</v>
      </c>
      <c r="M1" s="19" t="s">
        <v>25</v>
      </c>
      <c r="N1" s="19" t="s">
        <v>26</v>
      </c>
      <c r="O1" s="19" t="s">
        <v>27</v>
      </c>
      <c r="P1" s="19" t="s">
        <v>28</v>
      </c>
      <c r="Q1" s="19" t="s">
        <v>29</v>
      </c>
      <c r="R1" s="19" t="s">
        <v>30</v>
      </c>
      <c r="S1" s="19" t="s">
        <v>31</v>
      </c>
      <c r="T1" s="19" t="s">
        <v>32</v>
      </c>
      <c r="U1" s="19" t="s">
        <v>33</v>
      </c>
      <c r="ALQ1" s="20"/>
      <c r="ALR1" s="20"/>
      <c r="ALS1" s="20"/>
      <c r="ALT1" s="20"/>
      <c r="ALU1" s="20"/>
      <c r="ALV1" s="20"/>
      <c r="ALW1" s="20"/>
      <c r="ALX1" s="20"/>
      <c r="ALY1" s="20"/>
      <c r="ALZ1" s="20"/>
      <c r="AMA1" s="20"/>
      <c r="AMB1" s="20"/>
      <c r="AMC1" s="20"/>
      <c r="AMD1" s="20"/>
      <c r="AME1" s="20"/>
      <c r="AMF1" s="20"/>
      <c r="AMG1" s="20"/>
      <c r="AMH1" s="20"/>
      <c r="AMI1" s="20"/>
      <c r="AMJ1" s="20"/>
    </row>
    <row r="2" customFormat="false" ht="15" hidden="false" customHeight="false" outlineLevel="0" collapsed="false">
      <c r="A2" s="19" t="n">
        <v>1</v>
      </c>
      <c r="B2" s="19" t="n">
        <v>4.48</v>
      </c>
      <c r="C2" s="19" t="n">
        <v>-0.073</v>
      </c>
      <c r="D2" s="19" t="n">
        <v>0.75</v>
      </c>
      <c r="E2" s="19" t="n">
        <v>0.153</v>
      </c>
      <c r="F2" s="19" t="n">
        <v>0.33</v>
      </c>
      <c r="G2" s="19" t="n">
        <v>0.679</v>
      </c>
      <c r="H2" s="19" t="n">
        <v>5832</v>
      </c>
      <c r="I2" s="19" t="n">
        <v>9664</v>
      </c>
      <c r="J2" s="19" t="n">
        <v>0.5</v>
      </c>
      <c r="K2" s="19" t="n">
        <v>14.07</v>
      </c>
      <c r="L2" s="19" t="n">
        <v>0.0873</v>
      </c>
      <c r="M2" s="19" t="n">
        <v>0.75</v>
      </c>
      <c r="N2" s="19" t="n">
        <v>0.423</v>
      </c>
      <c r="O2" s="19" t="n">
        <v>0.606</v>
      </c>
      <c r="P2" s="19" t="n">
        <v>2</v>
      </c>
      <c r="Q2" s="19" t="n">
        <v>2.43</v>
      </c>
      <c r="R2" s="19" t="n">
        <v>7</v>
      </c>
      <c r="S2" s="19" t="n">
        <v>4.96</v>
      </c>
      <c r="T2" s="19" t="n">
        <v>-0.21</v>
      </c>
      <c r="U2" s="19" t="n">
        <v>10</v>
      </c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</row>
    <row r="3" customFormat="false" ht="15" hidden="false" customHeight="false" outlineLevel="0" collapsed="false">
      <c r="A3" s="19" t="n">
        <v>2</v>
      </c>
      <c r="B3" s="19" t="n">
        <v>4.48</v>
      </c>
      <c r="C3" s="19" t="n">
        <v>-0.073</v>
      </c>
      <c r="D3" s="19" t="n">
        <v>0.75</v>
      </c>
      <c r="E3" s="19" t="n">
        <v>0.153</v>
      </c>
      <c r="F3" s="19" t="n">
        <v>0.33</v>
      </c>
      <c r="G3" s="19" t="n">
        <v>0.679</v>
      </c>
      <c r="H3" s="19" t="n">
        <v>5832</v>
      </c>
      <c r="I3" s="19" t="n">
        <v>9664</v>
      </c>
      <c r="J3" s="19" t="n">
        <v>0.5</v>
      </c>
      <c r="K3" s="19" t="n">
        <v>14.07</v>
      </c>
      <c r="L3" s="19" t="n">
        <v>0.0873</v>
      </c>
      <c r="M3" s="19" t="n">
        <v>0.75</v>
      </c>
      <c r="N3" s="19" t="n">
        <v>0.423</v>
      </c>
      <c r="O3" s="19" t="n">
        <v>0.606</v>
      </c>
      <c r="P3" s="19" t="n">
        <v>2</v>
      </c>
      <c r="Q3" s="19" t="n">
        <v>2.43</v>
      </c>
      <c r="R3" s="19" t="n">
        <v>7</v>
      </c>
      <c r="S3" s="19" t="n">
        <v>4.96</v>
      </c>
      <c r="T3" s="19" t="n">
        <v>-0.21</v>
      </c>
      <c r="U3" s="19" t="n">
        <v>10</v>
      </c>
      <c r="ALQ3" s="20"/>
      <c r="ALR3" s="20"/>
      <c r="ALS3" s="20"/>
      <c r="ALT3" s="20"/>
      <c r="ALU3" s="20"/>
      <c r="ALV3" s="20"/>
      <c r="ALW3" s="20"/>
      <c r="ALX3" s="20"/>
      <c r="ALY3" s="20"/>
      <c r="ALZ3" s="20"/>
      <c r="AMA3" s="20"/>
      <c r="AMB3" s="20"/>
      <c r="AMC3" s="20"/>
      <c r="AMD3" s="20"/>
      <c r="AME3" s="20"/>
      <c r="AMF3" s="20"/>
      <c r="AMG3" s="20"/>
      <c r="AMH3" s="20"/>
      <c r="AMI3" s="20"/>
      <c r="AMJ3" s="20"/>
    </row>
    <row r="6" customFormat="false" ht="15" hidden="false" customHeight="false" outlineLevel="0" collapsed="false">
      <c r="A6" s="21" t="s">
        <v>1</v>
      </c>
      <c r="B6" s="19" t="s">
        <v>34</v>
      </c>
      <c r="C6" s="19" t="s">
        <v>35</v>
      </c>
      <c r="D6" s="19" t="s">
        <v>36</v>
      </c>
      <c r="E6" s="19" t="s">
        <v>37</v>
      </c>
      <c r="F6" s="20" t="s">
        <v>38</v>
      </c>
      <c r="G6" s="20" t="s">
        <v>39</v>
      </c>
      <c r="H6" s="19" t="s">
        <v>40</v>
      </c>
      <c r="I6" s="19" t="s">
        <v>41</v>
      </c>
      <c r="J6" s="19" t="s">
        <v>42</v>
      </c>
      <c r="K6" s="19" t="s">
        <v>43</v>
      </c>
    </row>
    <row r="7" customFormat="false" ht="15" hidden="false" customHeight="false" outlineLevel="0" collapsed="false">
      <c r="A7" s="19" t="n">
        <v>1</v>
      </c>
      <c r="B7" s="19" t="n">
        <f aca="false">Resources!I2/Resources!G2</f>
        <v>0.01</v>
      </c>
      <c r="C7" s="22" t="n">
        <f aca="false">($K$2*B7)/(1+$K$2*$G$2*B7)</f>
        <v>0.128430366415395</v>
      </c>
      <c r="D7" s="19" t="n">
        <f aca="false">Resources!I4/Resources!G4</f>
        <v>0.01</v>
      </c>
      <c r="E7" s="22" t="n">
        <f aca="false">($K$2*D7)/(1+$K$2*$G$2*D7)</f>
        <v>0.128430366415395</v>
      </c>
      <c r="F7" s="19" t="n">
        <f aca="false">Resources!I6/Resources!G6</f>
        <v>0.01</v>
      </c>
      <c r="G7" s="22" t="n">
        <f aca="false">($K$2*F7)/(1+$K$2*$G$2*F7)</f>
        <v>0.128430366415395</v>
      </c>
      <c r="H7" s="19" t="n">
        <v>38.2</v>
      </c>
      <c r="I7" s="19" t="n">
        <v>76.4</v>
      </c>
      <c r="J7" s="19" t="n">
        <f aca="false">1/((1+P2)*P2)</f>
        <v>0.166666666666667</v>
      </c>
      <c r="K7" s="19" t="n">
        <f aca="false">1/((1+Q2)*Q2)</f>
        <v>0.119977444240483</v>
      </c>
    </row>
    <row r="8" customFormat="false" ht="15" hidden="false" customHeight="false" outlineLevel="0" collapsed="false">
      <c r="A8" s="19" t="n">
        <v>2</v>
      </c>
      <c r="B8" s="19" t="n">
        <f aca="false">Resources!I3/Resources!G3</f>
        <v>1</v>
      </c>
      <c r="C8" s="22" t="n">
        <f aca="false">($K$3*B8)/(1+$K$3*$G$3*B8)</f>
        <v>1.33320320309887</v>
      </c>
      <c r="D8" s="19" t="n">
        <f aca="false">Resources!I5/Resources!G5</f>
        <v>1</v>
      </c>
      <c r="E8" s="22" t="n">
        <f aca="false">($K$3*D8)/(1+$K$3*$G$3*D8)</f>
        <v>1.33320320309887</v>
      </c>
      <c r="F8" s="19" t="n">
        <f aca="false">Resources!I7/Resources!G7</f>
        <v>1</v>
      </c>
      <c r="G8" s="22" t="n">
        <f aca="false">($K$3*F8)/(1+$K$3*$G$3*F8)</f>
        <v>1.33320320309887</v>
      </c>
      <c r="H8" s="19" t="n">
        <v>38.2</v>
      </c>
      <c r="I8" s="19" t="n">
        <v>76.4</v>
      </c>
      <c r="J8" s="19" t="n">
        <f aca="false">1/((1+P3)*P3)</f>
        <v>0.166666666666667</v>
      </c>
      <c r="K8" s="19" t="n">
        <f aca="false">1/((1+Q3)*Q3)</f>
        <v>0.119977444240483</v>
      </c>
    </row>
    <row r="9" customFormat="false" ht="15" hidden="false" customHeight="false" outlineLevel="0" collapsed="false">
      <c r="D9" s="19" t="s">
        <v>44</v>
      </c>
    </row>
    <row r="10" customFormat="false" ht="15" hidden="false" customHeight="false" outlineLevel="0" collapsed="false">
      <c r="A10" s="23" t="s">
        <v>1</v>
      </c>
      <c r="B10" s="24" t="s">
        <v>45</v>
      </c>
      <c r="C10" s="24" t="s">
        <v>46</v>
      </c>
      <c r="D10" s="24" t="s">
        <v>47</v>
      </c>
      <c r="E10" s="23" t="s">
        <v>48</v>
      </c>
      <c r="F10" s="23" t="s">
        <v>49</v>
      </c>
      <c r="G10" s="23" t="s">
        <v>50</v>
      </c>
      <c r="H10" s="23" t="s">
        <v>51</v>
      </c>
      <c r="I10" s="20" t="s">
        <v>52</v>
      </c>
      <c r="J10" s="23" t="s">
        <v>53</v>
      </c>
      <c r="K10" s="23" t="s">
        <v>54</v>
      </c>
      <c r="L10" s="25" t="s">
        <v>55</v>
      </c>
      <c r="M10" s="23" t="s">
        <v>56</v>
      </c>
      <c r="N10" s="23" t="s">
        <v>46</v>
      </c>
      <c r="O10" s="23" t="s">
        <v>47</v>
      </c>
      <c r="P10" s="19" t="s">
        <v>57</v>
      </c>
      <c r="R10" s="19" t="s">
        <v>58</v>
      </c>
      <c r="S10" s="19" t="s">
        <v>59</v>
      </c>
      <c r="T10" s="19" t="s">
        <v>60</v>
      </c>
      <c r="U10" s="19" t="s">
        <v>61</v>
      </c>
      <c r="V10" s="19" t="s">
        <v>62</v>
      </c>
      <c r="W10" s="19" t="s">
        <v>47</v>
      </c>
    </row>
    <row r="11" customFormat="false" ht="15" hidden="false" customHeight="false" outlineLevel="0" collapsed="false">
      <c r="A11" s="26" t="n">
        <v>1</v>
      </c>
      <c r="B11" s="27" t="n">
        <v>1</v>
      </c>
      <c r="C11" s="27" t="n">
        <v>38.2</v>
      </c>
      <c r="D11" s="27" t="n">
        <v>76.4</v>
      </c>
      <c r="E11" s="27" t="n">
        <f aca="false">$N$2*POWER(C11+D11,$O$2)</f>
        <v>7.48524889226383</v>
      </c>
      <c r="F11" s="27" t="n">
        <f aca="false">$E$2*POWER(C11,$F$2)</f>
        <v>0.509063947138565</v>
      </c>
      <c r="G11" s="27" t="n">
        <f aca="false">1/(1+EXP($B$2+$C$2*F11))</f>
        <v>0.0116257571723061</v>
      </c>
      <c r="H11" s="27" t="n">
        <f aca="false">1-G11</f>
        <v>0.988374242827694</v>
      </c>
      <c r="I11" s="20" t="n">
        <v>1</v>
      </c>
      <c r="J11" s="28" t="n">
        <f aca="false">$C$7*H11*E11</f>
        <v>0.950157030925359</v>
      </c>
      <c r="K11" s="29" t="n">
        <f aca="false">$E$7*G11*E11*I11</f>
        <v>0.0111762270185174</v>
      </c>
      <c r="L11" s="20" t="n">
        <f aca="false">$G$7*G11*E11*(1-I11)</f>
        <v>0</v>
      </c>
      <c r="M11" s="27" t="n">
        <f aca="false">(J11+K11+L11)-$L$2*POWER(C11+D11,$M$2)</f>
        <v>-2.09642189647467</v>
      </c>
      <c r="N11" s="27" t="n">
        <f aca="false">IF(M11&gt;=0,(D11/C11)*P11*M11+C11,C11)</f>
        <v>38.2</v>
      </c>
      <c r="O11" s="30" t="n">
        <f aca="false">IF(M11&gt;=0,(1-(D11/C11)*P11)*M11+D11,D11+M11)</f>
        <v>74.3035781035253</v>
      </c>
      <c r="P11" s="19" t="n">
        <f aca="false">IF(C11&gt;=$H$2,$K$7,$J$7)</f>
        <v>0.166666666666667</v>
      </c>
      <c r="R11" s="19" t="n">
        <v>0</v>
      </c>
      <c r="S11" s="19" t="n">
        <v>114.6</v>
      </c>
      <c r="T11" s="19" t="n">
        <v>2</v>
      </c>
      <c r="U11" s="19" t="n">
        <f aca="false">_xlfn.FLOOR.MATH((1-R11)*(O11-N11*T11)/S11)</f>
        <v>-1</v>
      </c>
      <c r="V11" s="19" t="n">
        <f aca="false">(1-R11)*(O11-N11*T11)</f>
        <v>-2.09642189647468</v>
      </c>
      <c r="W11" s="19" t="n">
        <f aca="false">IF(V11&gt;0,O11-V11,O11)</f>
        <v>74.3035781035253</v>
      </c>
    </row>
    <row r="12" customFormat="false" ht="15" hidden="false" customHeight="false" outlineLevel="0" collapsed="false">
      <c r="A12" s="26"/>
      <c r="B12" s="27" t="n">
        <v>2</v>
      </c>
      <c r="C12" s="27" t="n">
        <v>5832</v>
      </c>
      <c r="D12" s="27" t="n">
        <v>11664</v>
      </c>
      <c r="E12" s="27" t="n">
        <f aca="false">$N$2*POWER(C12+D12,$O$2)</f>
        <v>157.601832178176</v>
      </c>
      <c r="F12" s="27" t="n">
        <f aca="false">$E$2*POWER(C12,$F$2)</f>
        <v>2.67553853806793</v>
      </c>
      <c r="G12" s="27" t="n">
        <f aca="false">1/(1+EXP($B$2+$C$2*F12))</f>
        <v>0.0135906994370804</v>
      </c>
      <c r="H12" s="27" t="n">
        <f aca="false">1-G12</f>
        <v>0.98640930056292</v>
      </c>
      <c r="I12" s="20" t="n">
        <v>1</v>
      </c>
      <c r="J12" s="28" t="n">
        <f aca="false">$C$7*H12*E12</f>
        <v>19.965773595443</v>
      </c>
      <c r="K12" s="29" t="n">
        <f aca="false">$E$7*G12*E12*I12</f>
        <v>0.275087458937794</v>
      </c>
      <c r="L12" s="20" t="n">
        <f aca="false">$G$7*G12*E12*(1-I12)</f>
        <v>0</v>
      </c>
      <c r="M12" s="27" t="n">
        <f aca="false">(J12+K12+L12)-$L$2*POWER(C12+D12,$M$2)</f>
        <v>-112.565330038486</v>
      </c>
      <c r="N12" s="27" t="n">
        <f aca="false">IF(M12&gt;=0,(D12/C12)*P12*M12+C12,C12)</f>
        <v>5832</v>
      </c>
      <c r="O12" s="30" t="n">
        <f aca="false">IF(M12&gt;=0,(1-(D12/C12)*P12)*M12+D12,D12+M12)</f>
        <v>11551.4346699615</v>
      </c>
      <c r="P12" s="19" t="n">
        <f aca="false">IF(C12&gt;=$I$2,$K$7,$J$7)</f>
        <v>0.166666666666667</v>
      </c>
      <c r="R12" s="19" t="n">
        <v>1</v>
      </c>
      <c r="S12" s="19" t="n">
        <v>114.6</v>
      </c>
      <c r="T12" s="19" t="n">
        <v>2</v>
      </c>
      <c r="U12" s="19" t="n">
        <f aca="false">_xlfn.FLOOR.MATH((1-R12)*(O12-N12*T12)/S12)</f>
        <v>0</v>
      </c>
      <c r="V12" s="19" t="n">
        <f aca="false">(1-R12)*(O12-N12*T12)</f>
        <v>-0</v>
      </c>
      <c r="W12" s="19" t="n">
        <f aca="false">IF(V12&gt;0,O12-V12,O12)</f>
        <v>11551.4346699615</v>
      </c>
    </row>
    <row r="13" customFormat="false" ht="15" hidden="false" customHeight="false" outlineLevel="0" collapsed="false">
      <c r="A13" s="26"/>
      <c r="B13" s="27" t="n">
        <v>3</v>
      </c>
      <c r="C13" s="27" t="n">
        <v>9664</v>
      </c>
      <c r="D13" s="27" t="n">
        <v>19328</v>
      </c>
      <c r="E13" s="27" t="n">
        <f aca="false">$N$2*POWER(C13+D13,$O$2)</f>
        <v>214.033100142202</v>
      </c>
      <c r="F13" s="27" t="n">
        <f aca="false">$E$2*POWER(C13,$F$2)</f>
        <v>3.16077233032895</v>
      </c>
      <c r="G13" s="27" t="n">
        <f aca="false">1/(1+EXP($B$2+$C$2*F13))</f>
        <v>0.0140738412276639</v>
      </c>
      <c r="H13" s="27" t="n">
        <f aca="false">1-G13</f>
        <v>0.985926158772336</v>
      </c>
      <c r="I13" s="20" t="n">
        <v>1</v>
      </c>
      <c r="J13" s="28" t="n">
        <f aca="false">$C$7*H13*E13</f>
        <v>27.1014828101462</v>
      </c>
      <c r="K13" s="29" t="n">
        <f aca="false">$E$7*G13*E13*I13</f>
        <v>0.386866666139787</v>
      </c>
      <c r="L13" s="20" t="n">
        <f aca="false">$G$7*G13*E13*(1-I13)</f>
        <v>0</v>
      </c>
      <c r="M13" s="27" t="n">
        <f aca="false">(J13+K13+L13)-$L$2*POWER(C13+D13,$M$2)</f>
        <v>-166.476429419165</v>
      </c>
      <c r="N13" s="27" t="n">
        <f aca="false">IF(M13&gt;=0,(D13/C13)*P13*M13+C13,C13)</f>
        <v>9664</v>
      </c>
      <c r="O13" s="30" t="n">
        <f aca="false">IF(M13&gt;=0,(1-(D13/C13)*P13)*M13+D13,D13+M13)</f>
        <v>19161.5235705808</v>
      </c>
      <c r="P13" s="19" t="n">
        <f aca="false">IF(C13&gt;=$H$2,$K$7,$J$7)</f>
        <v>0.119977444240483</v>
      </c>
      <c r="R13" s="19" t="n">
        <v>0</v>
      </c>
      <c r="S13" s="19" t="n">
        <v>114.6</v>
      </c>
      <c r="T13" s="19" t="n">
        <v>2</v>
      </c>
      <c r="U13" s="19" t="n">
        <f aca="false">_xlfn.FLOOR.MATH((1-R13)*(O13-N13*T13)/S13)</f>
        <v>-2</v>
      </c>
      <c r="V13" s="19" t="n">
        <f aca="false">(1-R13)*(O13-N13*T13)</f>
        <v>-166.476429419166</v>
      </c>
      <c r="W13" s="19" t="n">
        <f aca="false">IF(V13&gt;0,O13-V13,O13)</f>
        <v>19161.5235705808</v>
      </c>
    </row>
    <row r="14" customFormat="false" ht="15" hidden="false" customHeight="false" outlineLevel="0" collapsed="false">
      <c r="A14" s="26"/>
      <c r="B14" s="27" t="n">
        <v>4</v>
      </c>
      <c r="C14" s="27" t="n">
        <v>5832</v>
      </c>
      <c r="D14" s="27" t="n">
        <v>16329</v>
      </c>
      <c r="E14" s="27" t="n">
        <f aca="false">$N$2*POWER(C14+D14,$O$2)</f>
        <v>181.872700651422</v>
      </c>
      <c r="F14" s="27" t="n">
        <f aca="false">$E$2*POWER(C14,$F$2)</f>
        <v>2.67553853806793</v>
      </c>
      <c r="G14" s="27" t="n">
        <f aca="false">1/(1+EXP($B$2+$C$2*F14))</f>
        <v>0.0135906994370804</v>
      </c>
      <c r="H14" s="27" t="n">
        <f aca="false">1-G14</f>
        <v>0.98640930056292</v>
      </c>
      <c r="I14" s="20" t="n">
        <v>1</v>
      </c>
      <c r="J14" s="28" t="n">
        <f aca="false">$C$7*H14*E14</f>
        <v>23.0405263327954</v>
      </c>
      <c r="K14" s="29" t="n">
        <f aca="false">$E$7*G14*E14*I14</f>
        <v>0.317451252824216</v>
      </c>
      <c r="L14" s="20" t="n">
        <f aca="false">$G$7*G14*E14*(1-I14)</f>
        <v>0</v>
      </c>
      <c r="M14" s="27" t="n">
        <f aca="false">(J14+K14+L14)-$L$2*POWER(C14+D14,$M$2)</f>
        <v>-135.206630699427</v>
      </c>
      <c r="N14" s="27" t="n">
        <f aca="false">IF(M14&gt;=0,(D14/C14)*P14*M14+C14,C14)</f>
        <v>5832</v>
      </c>
      <c r="O14" s="30" t="n">
        <f aca="false">IF(M14&gt;=0,(1-(D14/C14)*P14)*M14+D14,D14+M14)</f>
        <v>16193.7933693006</v>
      </c>
      <c r="P14" s="19" t="n">
        <f aca="false">IF(C14&gt;=$I$2,$K$7,$J$7)</f>
        <v>0.166666666666667</v>
      </c>
      <c r="R14" s="19" t="n">
        <v>1</v>
      </c>
      <c r="S14" s="19" t="n">
        <v>114.6</v>
      </c>
      <c r="T14" s="19" t="n">
        <v>2</v>
      </c>
      <c r="U14" s="19" t="n">
        <f aca="false">_xlfn.FLOOR.MATH((1-R14)*(O14-N14*T14)/S14)</f>
        <v>0</v>
      </c>
      <c r="V14" s="19" t="n">
        <f aca="false">(1-R14)*(O14-N14*T14)</f>
        <v>0</v>
      </c>
      <c r="W14" s="19" t="n">
        <f aca="false">IF(V14&gt;0,O14-V14,O14)</f>
        <v>16193.7933693006</v>
      </c>
    </row>
    <row r="15" customFormat="false" ht="15" hidden="false" customHeight="false" outlineLevel="0" collapsed="false">
      <c r="A15" s="26"/>
      <c r="B15" s="27" t="n">
        <v>5</v>
      </c>
      <c r="C15" s="27" t="n">
        <v>9664</v>
      </c>
      <c r="D15" s="27" t="n">
        <v>27059</v>
      </c>
      <c r="E15" s="27" t="n">
        <f aca="false">$N$2*POWER(C15+D15,$O$2)</f>
        <v>246.997687875141</v>
      </c>
      <c r="F15" s="27" t="n">
        <f aca="false">$E$2*POWER(C15,$F$2)</f>
        <v>3.16077233032895</v>
      </c>
      <c r="G15" s="27" t="n">
        <f aca="false">1/(1+EXP($B$2+$C$2*F15))</f>
        <v>0.0140738412276639</v>
      </c>
      <c r="H15" s="27" t="n">
        <f aca="false">1-G15</f>
        <v>0.985926158772336</v>
      </c>
      <c r="I15" s="20" t="n">
        <v>1</v>
      </c>
      <c r="J15" s="28" t="n">
        <f aca="false">$C$7*H15*E15</f>
        <v>31.2755531160673</v>
      </c>
      <c r="K15" s="29" t="n">
        <f aca="false">$E$7*G15*E15*I15</f>
        <v>0.446450441492486</v>
      </c>
      <c r="L15" s="20" t="n">
        <f aca="false">$G$7*G15*E15*(1-I15)</f>
        <v>0</v>
      </c>
      <c r="M15" s="27" t="n">
        <f aca="false">(J15+K15+L15)-$L$2*POWER(C15+D15,$M$2)</f>
        <v>-199.866959511516</v>
      </c>
      <c r="N15" s="27" t="n">
        <f aca="false">IF(M15&gt;=0,(D15/C15)*P15*M15+C15,C15)</f>
        <v>9664</v>
      </c>
      <c r="O15" s="30" t="n">
        <f aca="false">IF(M15&gt;=0,(1-(D15/C15)*P15)*M15+D15,D15+M15)</f>
        <v>26859.1330404885</v>
      </c>
      <c r="P15" s="19" t="n">
        <f aca="false">IF(C15&gt;=$H$2,$K$7,$J$7)</f>
        <v>0.119977444240483</v>
      </c>
      <c r="R15" s="19" t="n">
        <v>0</v>
      </c>
      <c r="S15" s="19" t="n">
        <v>114.6</v>
      </c>
      <c r="T15" s="19" t="n">
        <v>2</v>
      </c>
      <c r="U15" s="19" t="n">
        <f aca="false">_xlfn.FLOOR.MATH((1-R15)*(O15-N15*T15)/S15)</f>
        <v>65</v>
      </c>
      <c r="V15" s="19" t="n">
        <f aca="false">(1-R15)*(O15-N15*T15)</f>
        <v>7531.13304048848</v>
      </c>
      <c r="W15" s="19" t="n">
        <f aca="false">IF(V15&gt;0,O15-V15,O15)</f>
        <v>19328</v>
      </c>
    </row>
    <row r="16" customFormat="false" ht="15" hidden="false" customHeight="false" outlineLevel="0" collapsed="false">
      <c r="A16" s="26"/>
      <c r="B16" s="27" t="n">
        <v>6</v>
      </c>
      <c r="C16" s="27" t="n">
        <v>38.2</v>
      </c>
      <c r="D16" s="27" t="n">
        <v>76.4</v>
      </c>
      <c r="E16" s="27" t="n">
        <f aca="false">$N$2*POWER(C16+D16,$O$2)</f>
        <v>7.48524889226383</v>
      </c>
      <c r="F16" s="27" t="n">
        <f aca="false">$E$2*POWER(C16,$F$2)</f>
        <v>0.509063947138565</v>
      </c>
      <c r="G16" s="27" t="n">
        <f aca="false">1/(1+EXP($B$2+$C$2*F16))</f>
        <v>0.0116257571723061</v>
      </c>
      <c r="H16" s="27" t="n">
        <f aca="false">1-G16</f>
        <v>0.988374242827694</v>
      </c>
      <c r="I16" s="20" t="n">
        <v>0</v>
      </c>
      <c r="J16" s="28" t="n">
        <f aca="false">$C$7*H16*E16</f>
        <v>0.950157030925359</v>
      </c>
      <c r="K16" s="29" t="n">
        <f aca="false">$E$7*G16*E16*I16</f>
        <v>0</v>
      </c>
      <c r="L16" s="20" t="n">
        <f aca="false">$G$7*G16*E16*(1-I16)</f>
        <v>0.0111762270185174</v>
      </c>
      <c r="M16" s="27" t="n">
        <f aca="false">(J16+K16+L16)-$L$2*POWER(C16+D16,$M$2)</f>
        <v>-2.09642189647467</v>
      </c>
      <c r="N16" s="27" t="n">
        <f aca="false">IF(M16&gt;=0,(D16/C16)*P16*M16+C16,C16)</f>
        <v>38.2</v>
      </c>
      <c r="O16" s="30" t="n">
        <f aca="false">IF(M16&gt;=0,(1-(D16/C16)*P16)*M16+D16,D16+M16)</f>
        <v>74.3035781035253</v>
      </c>
      <c r="P16" s="19" t="n">
        <f aca="false">IF(C16&gt;=$I$2,$K$7,$J$7)</f>
        <v>0.166666666666667</v>
      </c>
      <c r="R16" s="19" t="n">
        <v>1</v>
      </c>
      <c r="S16" s="19" t="n">
        <v>114.6</v>
      </c>
      <c r="T16" s="19" t="n">
        <v>2</v>
      </c>
      <c r="U16" s="19" t="n">
        <f aca="false">_xlfn.FLOOR.MATH((1-R16)*(O16-N16*T16)/S16)</f>
        <v>0</v>
      </c>
      <c r="V16" s="19" t="n">
        <f aca="false">(1-R16)*(O16-N16*T16)</f>
        <v>-0</v>
      </c>
      <c r="W16" s="19" t="n">
        <f aca="false">IF(V16&gt;0,O16-V16,O16)</f>
        <v>74.3035781035253</v>
      </c>
    </row>
    <row r="17" customFormat="false" ht="15" hidden="false" customHeight="false" outlineLevel="0" collapsed="false">
      <c r="A17" s="26"/>
      <c r="B17" s="27" t="n">
        <v>7</v>
      </c>
      <c r="C17" s="27" t="n">
        <v>5832</v>
      </c>
      <c r="D17" s="27" t="n">
        <v>11664</v>
      </c>
      <c r="E17" s="27" t="n">
        <f aca="false">$N$2*POWER(C17+D17,$O$2)</f>
        <v>157.601832178176</v>
      </c>
      <c r="F17" s="27" t="n">
        <f aca="false">$E$2*POWER(C17,$F$2)</f>
        <v>2.67553853806793</v>
      </c>
      <c r="G17" s="27" t="n">
        <f aca="false">1/(1+EXP($B$2+$C$2*F17))</f>
        <v>0.0135906994370804</v>
      </c>
      <c r="H17" s="27" t="n">
        <f aca="false">1-G17</f>
        <v>0.98640930056292</v>
      </c>
      <c r="I17" s="20" t="n">
        <v>0</v>
      </c>
      <c r="J17" s="28" t="n">
        <f aca="false">$C$7*H17*E17</f>
        <v>19.965773595443</v>
      </c>
      <c r="K17" s="29" t="n">
        <f aca="false">$E$7*G17*E17*I17</f>
        <v>0</v>
      </c>
      <c r="L17" s="20" t="n">
        <f aca="false">$G$7*G17*E17*(1-I17)</f>
        <v>0.275087458937794</v>
      </c>
      <c r="M17" s="27" t="n">
        <f aca="false">(J17+K17+L17)-$L$2*POWER(C17+D17,$M$2)</f>
        <v>-112.565330038486</v>
      </c>
      <c r="N17" s="27" t="n">
        <f aca="false">IF(M17&gt;=0,(D17/C17)*P17*M17+C17,C17)</f>
        <v>5832</v>
      </c>
      <c r="O17" s="30" t="n">
        <f aca="false">IF(M17&gt;=0,(1-(D17/C17)*P17)*M17+D17,D17+M17)</f>
        <v>11551.4346699615</v>
      </c>
      <c r="P17" s="19" t="n">
        <f aca="false">IF(C17&gt;=$H$2,$K$7,$J$7)</f>
        <v>0.119977444240483</v>
      </c>
      <c r="R17" s="19" t="n">
        <v>0</v>
      </c>
      <c r="S17" s="19" t="n">
        <v>114.6</v>
      </c>
      <c r="T17" s="19" t="n">
        <v>2</v>
      </c>
      <c r="U17" s="19" t="n">
        <f aca="false">_xlfn.FLOOR.MATH((1-R17)*(O17-N17*T17)/S17)</f>
        <v>-1</v>
      </c>
      <c r="V17" s="19" t="n">
        <f aca="false">(1-R17)*(O17-N17*T17)</f>
        <v>-112.565330038486</v>
      </c>
      <c r="W17" s="19" t="n">
        <f aca="false">IF(V17&gt;0,O17-V17,O17)</f>
        <v>11551.4346699615</v>
      </c>
    </row>
    <row r="18" customFormat="false" ht="15" hidden="false" customHeight="false" outlineLevel="0" collapsed="false">
      <c r="A18" s="26"/>
      <c r="B18" s="27" t="n">
        <v>8</v>
      </c>
      <c r="C18" s="27" t="n">
        <v>9664</v>
      </c>
      <c r="D18" s="27" t="n">
        <v>19328</v>
      </c>
      <c r="E18" s="27" t="n">
        <f aca="false">$N$2*POWER(C18+D18,$O$2)</f>
        <v>214.033100142202</v>
      </c>
      <c r="F18" s="27" t="n">
        <f aca="false">$E$2*POWER(C18,$F$2)</f>
        <v>3.16077233032895</v>
      </c>
      <c r="G18" s="27" t="n">
        <f aca="false">1/(1+EXP($B$2+$C$2*F18))</f>
        <v>0.0140738412276639</v>
      </c>
      <c r="H18" s="27" t="n">
        <f aca="false">1-G18</f>
        <v>0.985926158772336</v>
      </c>
      <c r="I18" s="20" t="n">
        <v>0</v>
      </c>
      <c r="J18" s="28" t="n">
        <f aca="false">$C$7*H18*E18</f>
        <v>27.1014828101462</v>
      </c>
      <c r="K18" s="29" t="n">
        <f aca="false">$E$7*G18*E18*I18</f>
        <v>0</v>
      </c>
      <c r="L18" s="20" t="n">
        <f aca="false">$G$7*G18*E18*(1-I18)</f>
        <v>0.386866666139787</v>
      </c>
      <c r="M18" s="27" t="n">
        <f aca="false">(J18+K18+L18)-$L$2*POWER(C18+D18,$M$2)</f>
        <v>-166.476429419165</v>
      </c>
      <c r="N18" s="27" t="n">
        <f aca="false">IF(M18&gt;=0,(D18/C18)*P18*M18+C18,C18)</f>
        <v>9664</v>
      </c>
      <c r="O18" s="30" t="n">
        <f aca="false">IF(M18&gt;=0,(1-(D18/C18)*P18)*M18+D18,D18+M18)</f>
        <v>19161.5235705808</v>
      </c>
      <c r="P18" s="19" t="n">
        <f aca="false">IF(C18&gt;=$I$2,$K$7,$J$7)</f>
        <v>0.119977444240483</v>
      </c>
      <c r="R18" s="19" t="n">
        <v>1</v>
      </c>
      <c r="S18" s="19" t="n">
        <v>114.6</v>
      </c>
      <c r="T18" s="19" t="n">
        <v>2</v>
      </c>
      <c r="U18" s="19" t="n">
        <f aca="false">_xlfn.FLOOR.MATH((1-R18)*(O18-N18*T18)/S18)</f>
        <v>0</v>
      </c>
      <c r="V18" s="19" t="n">
        <f aca="false">(1-R18)*(O18-N18*T18)</f>
        <v>-0</v>
      </c>
      <c r="W18" s="19" t="n">
        <f aca="false">IF(V18&gt;0,O18-V18,O18)</f>
        <v>19161.5235705808</v>
      </c>
    </row>
    <row r="19" customFormat="false" ht="15" hidden="false" customHeight="false" outlineLevel="0" collapsed="false">
      <c r="A19" s="26"/>
      <c r="B19" s="27" t="n">
        <v>9</v>
      </c>
      <c r="C19" s="27" t="n">
        <v>5832</v>
      </c>
      <c r="D19" s="27" t="n">
        <v>16329</v>
      </c>
      <c r="E19" s="27" t="n">
        <f aca="false">$N$2*POWER(C19+D19,$O$2)</f>
        <v>181.872700651422</v>
      </c>
      <c r="F19" s="27" t="n">
        <f aca="false">$E$2*POWER(C19,$F$2)</f>
        <v>2.67553853806793</v>
      </c>
      <c r="G19" s="27" t="n">
        <f aca="false">1/(1+EXP($B$2+$C$2*F19))</f>
        <v>0.0135906994370804</v>
      </c>
      <c r="H19" s="27" t="n">
        <f aca="false">1-G19</f>
        <v>0.98640930056292</v>
      </c>
      <c r="I19" s="20" t="n">
        <v>0</v>
      </c>
      <c r="J19" s="28" t="n">
        <f aca="false">$C$7*H19*E19</f>
        <v>23.0405263327954</v>
      </c>
      <c r="K19" s="29" t="n">
        <f aca="false">$E$7*G19*E19*I19</f>
        <v>0</v>
      </c>
      <c r="L19" s="20" t="n">
        <f aca="false">$G$7*G19*E19*(1-I19)</f>
        <v>0.317451252824216</v>
      </c>
      <c r="M19" s="27" t="n">
        <f aca="false">(J19+K19+L19)-$L$2*POWER(C19+D19,$M$2)</f>
        <v>-135.206630699427</v>
      </c>
      <c r="N19" s="27" t="n">
        <f aca="false">IF(M19&gt;=0,(D19/C19)*P19*M19+C19,C19)</f>
        <v>5832</v>
      </c>
      <c r="O19" s="30" t="n">
        <f aca="false">IF(M19&gt;=0,(1-(D19/C19)*P19)*M19+D19,D19+M19)</f>
        <v>16193.7933693006</v>
      </c>
      <c r="P19" s="19" t="n">
        <f aca="false">IF(C19&gt;=$H$2,$K$7,$J$7)</f>
        <v>0.119977444240483</v>
      </c>
      <c r="R19" s="19" t="n">
        <v>0</v>
      </c>
      <c r="S19" s="19" t="n">
        <v>114.6</v>
      </c>
      <c r="T19" s="19" t="n">
        <v>2</v>
      </c>
      <c r="U19" s="19" t="n">
        <f aca="false">_xlfn.FLOOR.MATH((1-R19)*(O19-N19*T19)/S19)</f>
        <v>39</v>
      </c>
      <c r="V19" s="19" t="n">
        <f aca="false">(1-R19)*(O19-N19*T19)</f>
        <v>4529.79336930057</v>
      </c>
      <c r="W19" s="19" t="n">
        <f aca="false">IF(V19&gt;0,O19-V19,O19)</f>
        <v>11664</v>
      </c>
    </row>
    <row r="20" customFormat="false" ht="15" hidden="false" customHeight="false" outlineLevel="0" collapsed="false">
      <c r="A20" s="26"/>
      <c r="B20" s="31" t="n">
        <v>10</v>
      </c>
      <c r="C20" s="27" t="n">
        <v>9664</v>
      </c>
      <c r="D20" s="27" t="n">
        <v>27059</v>
      </c>
      <c r="E20" s="27" t="n">
        <f aca="false">$N$2*POWER(C20+D20,$O$2)</f>
        <v>246.997687875141</v>
      </c>
      <c r="F20" s="27" t="n">
        <f aca="false">$E$2*POWER(C20,$F$2)</f>
        <v>3.16077233032895</v>
      </c>
      <c r="G20" s="27" t="n">
        <f aca="false">1/(1+EXP($B$2+$C$2*F20))</f>
        <v>0.0140738412276639</v>
      </c>
      <c r="H20" s="27" t="n">
        <f aca="false">1-G20</f>
        <v>0.985926158772336</v>
      </c>
      <c r="I20" s="20" t="n">
        <v>0</v>
      </c>
      <c r="J20" s="28" t="n">
        <f aca="false">$C$7*H20*E20</f>
        <v>31.2755531160673</v>
      </c>
      <c r="K20" s="29" t="n">
        <f aca="false">$E$7*G20*E20*I20</f>
        <v>0</v>
      </c>
      <c r="L20" s="20" t="n">
        <f aca="false">$G$7*G20*E20*(1-I20)</f>
        <v>0.446450441492486</v>
      </c>
      <c r="M20" s="27" t="n">
        <f aca="false">(J20+K20+L20)-$L$2*POWER(C20+D20,$M$2)</f>
        <v>-199.866959511516</v>
      </c>
      <c r="N20" s="27" t="n">
        <f aca="false">IF(M20&gt;=0,(D20/C20)*P20*M20+C20,C20)</f>
        <v>9664</v>
      </c>
      <c r="O20" s="30" t="n">
        <f aca="false">IF(M20&gt;=0,(1-(D20/C20)*P20)*M20+D20,D20+M20)</f>
        <v>26859.1330404885</v>
      </c>
      <c r="P20" s="19" t="n">
        <f aca="false">IF(C20&gt;=$I$2,$K$7,$J$7)</f>
        <v>0.119977444240483</v>
      </c>
      <c r="R20" s="19" t="n">
        <v>1</v>
      </c>
      <c r="S20" s="19" t="n">
        <v>114.6</v>
      </c>
      <c r="T20" s="19" t="n">
        <v>2</v>
      </c>
      <c r="U20" s="19" t="n">
        <f aca="false">_xlfn.FLOOR.MATH((1-R20)*(O20-N20*T20)/S20)</f>
        <v>0</v>
      </c>
      <c r="V20" s="19" t="n">
        <f aca="false">(1-R20)*(O20-N20*T20)</f>
        <v>0</v>
      </c>
      <c r="W20" s="19" t="n">
        <f aca="false">IF(V20&gt;0,O20-V20,O20)</f>
        <v>26859.1330404885</v>
      </c>
    </row>
    <row r="21" customFormat="false" ht="15" hidden="false" customHeight="false" outlineLevel="0" collapsed="false">
      <c r="A21" s="26" t="n">
        <v>2</v>
      </c>
      <c r="B21" s="32" t="n">
        <v>1</v>
      </c>
      <c r="C21" s="27" t="n">
        <v>38.2</v>
      </c>
      <c r="D21" s="27" t="n">
        <v>76.4</v>
      </c>
      <c r="E21" s="27" t="n">
        <f aca="false">$N$3*POWER(C21+D21,$O$3)</f>
        <v>7.48524889226383</v>
      </c>
      <c r="F21" s="27" t="n">
        <f aca="false">$E$3*POWER(C21,$F$3)</f>
        <v>0.509063947138565</v>
      </c>
      <c r="G21" s="27" t="n">
        <f aca="false">1/(1+EXP($B$3+$C$3*F21))</f>
        <v>0.0116257571723061</v>
      </c>
      <c r="H21" s="27" t="n">
        <f aca="false">1-G21</f>
        <v>0.988374242827694</v>
      </c>
      <c r="I21" s="20" t="n">
        <v>1</v>
      </c>
      <c r="J21" s="28" t="n">
        <f aca="false">$C$8*H21*E21</f>
        <v>9.86334020864982</v>
      </c>
      <c r="K21" s="29" t="n">
        <f aca="false">$E$8*G21*E21*I21</f>
        <v>0.116017590508574</v>
      </c>
      <c r="L21" s="33" t="n">
        <f aca="false">$G$8*G21*E21*(1-I21)</f>
        <v>0</v>
      </c>
      <c r="M21" s="27" t="n">
        <f aca="false">(J21+K21+L21)-$L$3*POWER(C21+D21,$M$3)</f>
        <v>6.92160264473985</v>
      </c>
      <c r="N21" s="27" t="n">
        <f aca="false">IF(M21&gt;=0,(D21/C21)*P21*M21+C21,C21)</f>
        <v>40.50720088158</v>
      </c>
      <c r="O21" s="30" t="n">
        <f aca="false">IF(M21&gt;=0,(1-(D21/C21)*P21)*M21+D21,D21+M21)</f>
        <v>81.0144017631599</v>
      </c>
      <c r="P21" s="19" t="n">
        <f aca="false">IF(C21&gt;=$H$2,$K$7,$J$7)</f>
        <v>0.166666666666667</v>
      </c>
      <c r="R21" s="19" t="n">
        <v>0</v>
      </c>
      <c r="S21" s="19" t="n">
        <v>114.6</v>
      </c>
      <c r="T21" s="19" t="n">
        <v>2</v>
      </c>
      <c r="U21" s="19" t="n">
        <f aca="false">_xlfn.FLOOR.MATH((1-R21)*(O21-N21*T21)/S21)</f>
        <v>0</v>
      </c>
      <c r="V21" s="19" t="n">
        <f aca="false">(1-R21)*(O21-N21*T21)</f>
        <v>0</v>
      </c>
      <c r="W21" s="19" t="n">
        <f aca="false">IF(V21&gt;0,O21-V21,O21)</f>
        <v>81.0144017631599</v>
      </c>
    </row>
    <row r="22" customFormat="false" ht="15" hidden="false" customHeight="false" outlineLevel="0" collapsed="false">
      <c r="A22" s="26"/>
      <c r="B22" s="27" t="n">
        <v>2</v>
      </c>
      <c r="C22" s="27" t="n">
        <v>5832</v>
      </c>
      <c r="D22" s="27" t="n">
        <v>11664</v>
      </c>
      <c r="E22" s="27" t="n">
        <f aca="false">$N$3*POWER(C22+D22,$O$3)</f>
        <v>157.601832178176</v>
      </c>
      <c r="F22" s="27" t="n">
        <f aca="false">$E$3*POWER(C22,$F$3)</f>
        <v>2.67553853806793</v>
      </c>
      <c r="G22" s="27" t="n">
        <f aca="false">1/(1+EXP($B$3+$C$3*F22))</f>
        <v>0.0135906994370804</v>
      </c>
      <c r="H22" s="27" t="n">
        <f aca="false">1-G22</f>
        <v>0.98640930056292</v>
      </c>
      <c r="I22" s="20" t="n">
        <v>1</v>
      </c>
      <c r="J22" s="28" t="n">
        <f aca="false">$C$8*H22*E22</f>
        <v>207.259654026811</v>
      </c>
      <c r="K22" s="29" t="n">
        <f aca="false">$E$8*G22*E22*I22</f>
        <v>2.85561344738352</v>
      </c>
      <c r="L22" s="33" t="n">
        <f aca="false">$G$8*G22*E22*(1-I22)</f>
        <v>0</v>
      </c>
      <c r="M22" s="27" t="n">
        <f aca="false">(J22+K22+L22)-$L$3*POWER(C22+D22,$M$3)</f>
        <v>77.3090763813275</v>
      </c>
      <c r="N22" s="27" t="n">
        <f aca="false">IF(M22&gt;=0,(D22/C22)*P22*M22+C22,C22)</f>
        <v>5857.76969212711</v>
      </c>
      <c r="O22" s="30" t="n">
        <f aca="false">IF(M22&gt;=0,(1-(D22/C22)*P22)*M22+D22,D22+M22)</f>
        <v>11715.5393842542</v>
      </c>
      <c r="P22" s="19" t="n">
        <f aca="false">IF(C22&gt;=$I$2,$K$7,$J$7)</f>
        <v>0.166666666666667</v>
      </c>
      <c r="R22" s="19" t="n">
        <v>1</v>
      </c>
      <c r="S22" s="19" t="n">
        <v>114.6</v>
      </c>
      <c r="T22" s="19" t="n">
        <v>2</v>
      </c>
      <c r="U22" s="19" t="n">
        <f aca="false">_xlfn.FLOOR.MATH((1-R22)*(O22-N22*T22)/S22)</f>
        <v>0</v>
      </c>
      <c r="V22" s="19" t="n">
        <f aca="false">(1-R22)*(O22-N22*T22)</f>
        <v>0</v>
      </c>
      <c r="W22" s="19" t="n">
        <f aca="false">IF(V22&gt;0,O22-V22,O22)</f>
        <v>11715.5393842542</v>
      </c>
    </row>
    <row r="23" customFormat="false" ht="15" hidden="false" customHeight="false" outlineLevel="0" collapsed="false">
      <c r="A23" s="26"/>
      <c r="B23" s="27" t="n">
        <v>3</v>
      </c>
      <c r="C23" s="27" t="n">
        <v>9664</v>
      </c>
      <c r="D23" s="27" t="n">
        <v>19328</v>
      </c>
      <c r="E23" s="27" t="n">
        <f aca="false">$N$3*POWER(C23+D23,$O$3)</f>
        <v>214.033100142202</v>
      </c>
      <c r="F23" s="27" t="n">
        <f aca="false">$E$3*POWER(C23,$F$3)</f>
        <v>3.16077233032895</v>
      </c>
      <c r="G23" s="27" t="n">
        <f aca="false">1/(1+EXP($B$3+$C$3*F23))</f>
        <v>0.0140738412276639</v>
      </c>
      <c r="H23" s="27" t="n">
        <f aca="false">1-G23</f>
        <v>0.985926158772336</v>
      </c>
      <c r="I23" s="20" t="n">
        <v>1</v>
      </c>
      <c r="J23" s="28" t="n">
        <f aca="false">$C$8*H23*E23</f>
        <v>281.3336495074</v>
      </c>
      <c r="K23" s="29" t="n">
        <f aca="false">$E$8*G23*E23*I23</f>
        <v>4.015965171364</v>
      </c>
      <c r="L23" s="33" t="n">
        <f aca="false">$G$8*G23*E23*(1-I23)</f>
        <v>0</v>
      </c>
      <c r="M23" s="27" t="n">
        <f aca="false">(J23+K23+L23)-$L$3*POWER(C23+D23,$M$3)</f>
        <v>91.3848357833135</v>
      </c>
      <c r="N23" s="27" t="n">
        <f aca="false">IF(M23&gt;=0,(D23/C23)*P23*M23+C23,C23)</f>
        <v>9685.92823807924</v>
      </c>
      <c r="O23" s="30" t="n">
        <f aca="false">IF(M23&gt;=0,(1-(D23/C23)*P23)*M23+D23,D23+M23)</f>
        <v>19397.4565977041</v>
      </c>
      <c r="P23" s="19" t="n">
        <f aca="false">IF(C23&gt;=$H$2,$K$7,$J$7)</f>
        <v>0.119977444240483</v>
      </c>
      <c r="R23" s="19" t="n">
        <v>0</v>
      </c>
      <c r="S23" s="19" t="n">
        <v>114.6</v>
      </c>
      <c r="T23" s="19" t="n">
        <v>2</v>
      </c>
      <c r="U23" s="19" t="n">
        <f aca="false">_xlfn.FLOOR.MATH((1-R23)*(O23-N23*T23)/S23)</f>
        <v>0</v>
      </c>
      <c r="V23" s="19" t="n">
        <f aca="false">(1-R23)*(O23-N23*T23)</f>
        <v>25.6001215456054</v>
      </c>
      <c r="W23" s="19" t="n">
        <f aca="false">IF(V23&gt;0,O23-V23,O23)</f>
        <v>19371.8564761585</v>
      </c>
    </row>
    <row r="24" customFormat="false" ht="15" hidden="false" customHeight="false" outlineLevel="0" collapsed="false">
      <c r="A24" s="26"/>
      <c r="B24" s="27" t="n">
        <v>4</v>
      </c>
      <c r="C24" s="27" t="n">
        <v>5832</v>
      </c>
      <c r="D24" s="27" t="n">
        <v>16329</v>
      </c>
      <c r="E24" s="27" t="n">
        <f aca="false">$N$3*POWER(C24+D24,$O$3)</f>
        <v>181.872700651422</v>
      </c>
      <c r="F24" s="27" t="n">
        <f aca="false">$E$3*POWER(C24,$F$3)</f>
        <v>2.67553853806793</v>
      </c>
      <c r="G24" s="27" t="n">
        <f aca="false">1/(1+EXP($B$3+$C$3*F24))</f>
        <v>0.0135906994370804</v>
      </c>
      <c r="H24" s="27" t="n">
        <f aca="false">1-G24</f>
        <v>0.98640930056292</v>
      </c>
      <c r="I24" s="20" t="n">
        <v>1</v>
      </c>
      <c r="J24" s="28" t="n">
        <f aca="false">$C$8*H24*E24</f>
        <v>239.177885770514</v>
      </c>
      <c r="K24" s="29" t="n">
        <f aca="false">$E$8*G24*E24*I24</f>
        <v>3.29538129420349</v>
      </c>
      <c r="L24" s="33" t="n">
        <f aca="false">$G$8*G24*E24*(1-I24)</f>
        <v>0</v>
      </c>
      <c r="M24" s="27" t="n">
        <f aca="false">(J24+K24+L24)-$L$3*POWER(C24+D24,$M$3)</f>
        <v>83.9086587796702</v>
      </c>
      <c r="N24" s="27" t="n">
        <f aca="false">IF(M24&gt;=0,(D24/C24)*P24*M24+C24,C24)</f>
        <v>5871.15593533417</v>
      </c>
      <c r="O24" s="30" t="n">
        <f aca="false">IF(M24&gt;=0,(1-(D24/C24)*P24)*M24+D24,D24+M24)</f>
        <v>16373.7527234455</v>
      </c>
      <c r="P24" s="19" t="n">
        <f aca="false">IF(C24&gt;=$I$2,$K$7,$J$7)</f>
        <v>0.166666666666667</v>
      </c>
      <c r="R24" s="19" t="n">
        <v>1</v>
      </c>
      <c r="S24" s="19" t="n">
        <v>114.6</v>
      </c>
      <c r="T24" s="19" t="n">
        <v>2</v>
      </c>
      <c r="U24" s="19" t="n">
        <f aca="false">_xlfn.FLOOR.MATH((1-R24)*(O24-N24*T24)/S24)</f>
        <v>0</v>
      </c>
      <c r="V24" s="19" t="n">
        <f aca="false">(1-R24)*(O24-N24*T24)</f>
        <v>0</v>
      </c>
      <c r="W24" s="19" t="n">
        <f aca="false">IF(V24&gt;0,O24-V24,O24)</f>
        <v>16373.7527234455</v>
      </c>
    </row>
    <row r="25" customFormat="false" ht="15" hidden="false" customHeight="false" outlineLevel="0" collapsed="false">
      <c r="A25" s="26"/>
      <c r="B25" s="27" t="n">
        <v>5</v>
      </c>
      <c r="C25" s="27" t="n">
        <v>9664</v>
      </c>
      <c r="D25" s="27" t="n">
        <v>27059</v>
      </c>
      <c r="E25" s="27" t="n">
        <f aca="false">$N$3*POWER(C25+D25,$O$3)</f>
        <v>246.997687875141</v>
      </c>
      <c r="F25" s="27" t="n">
        <f aca="false">$E$3*POWER(C25,$F$3)</f>
        <v>3.16077233032895</v>
      </c>
      <c r="G25" s="27" t="n">
        <f aca="false">1/(1+EXP($B$3+$C$3*F25))</f>
        <v>0.0140738412276639</v>
      </c>
      <c r="H25" s="27" t="n">
        <f aca="false">1-G25</f>
        <v>0.985926158772336</v>
      </c>
      <c r="I25" s="20" t="n">
        <v>1</v>
      </c>
      <c r="J25" s="28" t="n">
        <f aca="false">$C$8*H25*E25</f>
        <v>324.663619335679</v>
      </c>
      <c r="K25" s="29" t="n">
        <f aca="false">$E$8*G25*E25*I25</f>
        <v>4.63448929747301</v>
      </c>
      <c r="L25" s="33" t="n">
        <f aca="false">$G$8*G25*E25*(1-I25)</f>
        <v>0</v>
      </c>
      <c r="M25" s="27" t="n">
        <f aca="false">(J25+K25+L25)-$L$3*POWER(C25+D25,$M$3)</f>
        <v>97.7091455640772</v>
      </c>
      <c r="N25" s="27" t="n">
        <f aca="false">IF(M25&gt;=0,(D25/C25)*P25*M25+C25,C25)</f>
        <v>9696.82385936881</v>
      </c>
      <c r="O25" s="30" t="n">
        <f aca="false">IF(M25&gt;=0,(1-(D25/C25)*P25)*M25+D25,D25+M25)</f>
        <v>27123.8852861953</v>
      </c>
      <c r="P25" s="19" t="n">
        <f aca="false">IF(C25&gt;=$H$2,$K$7,$J$7)</f>
        <v>0.119977444240483</v>
      </c>
      <c r="R25" s="19" t="n">
        <v>0</v>
      </c>
      <c r="S25" s="19" t="n">
        <v>114.6</v>
      </c>
      <c r="T25" s="19" t="n">
        <v>2</v>
      </c>
      <c r="U25" s="19" t="n">
        <f aca="false">_xlfn.FLOOR.MATH((1-R25)*(O25-N25*T25)/S25)</f>
        <v>67</v>
      </c>
      <c r="V25" s="19" t="n">
        <f aca="false">(1-R25)*(O25-N25*T25)</f>
        <v>7730.23756745766</v>
      </c>
      <c r="W25" s="19" t="n">
        <f aca="false">IF(V25&gt;0,O25-V25,O25)</f>
        <v>19393.6477187376</v>
      </c>
    </row>
    <row r="26" customFormat="false" ht="15" hidden="false" customHeight="false" outlineLevel="0" collapsed="false">
      <c r="A26" s="26"/>
      <c r="B26" s="27" t="n">
        <v>6</v>
      </c>
      <c r="C26" s="27" t="n">
        <v>38.2</v>
      </c>
      <c r="D26" s="27" t="n">
        <v>76.4</v>
      </c>
      <c r="E26" s="27" t="n">
        <f aca="false">$N$3*POWER(C26+D26,$O$3)</f>
        <v>7.48524889226383</v>
      </c>
      <c r="F26" s="27" t="n">
        <f aca="false">$E$3*POWER(C26,$F$3)</f>
        <v>0.509063947138565</v>
      </c>
      <c r="G26" s="27" t="n">
        <f aca="false">1/(1+EXP($B$3+$C$3*F26))</f>
        <v>0.0116257571723061</v>
      </c>
      <c r="H26" s="27" t="n">
        <f aca="false">1-G26</f>
        <v>0.988374242827694</v>
      </c>
      <c r="I26" s="20" t="n">
        <v>0</v>
      </c>
      <c r="J26" s="28" t="n">
        <f aca="false">$C$8*H26*E26</f>
        <v>9.86334020864982</v>
      </c>
      <c r="K26" s="29" t="n">
        <f aca="false">$E$8*G26*E26*I26</f>
        <v>0</v>
      </c>
      <c r="L26" s="33" t="n">
        <f aca="false">$G$8*G26*E26*(1-I26)</f>
        <v>0.116017590508574</v>
      </c>
      <c r="M26" s="27" t="n">
        <f aca="false">(J26+K26+L26)-$L$3*POWER(C26+D26,$M$3)</f>
        <v>6.92160264473985</v>
      </c>
      <c r="N26" s="27" t="n">
        <f aca="false">IF(M26&gt;=0,(D26/C26)*P26*M26+C26,C26)</f>
        <v>40.50720088158</v>
      </c>
      <c r="O26" s="30" t="n">
        <f aca="false">IF(M26&gt;=0,(1-(D26/C26)*P26)*M26+D26,D26+M26)</f>
        <v>81.0144017631599</v>
      </c>
      <c r="P26" s="19" t="n">
        <f aca="false">IF(C26&gt;=$I$2,$K$7,$J$7)</f>
        <v>0.166666666666667</v>
      </c>
      <c r="R26" s="19" t="n">
        <v>1</v>
      </c>
      <c r="S26" s="19" t="n">
        <v>114.6</v>
      </c>
      <c r="T26" s="19" t="n">
        <v>2</v>
      </c>
      <c r="U26" s="19" t="n">
        <f aca="false">_xlfn.FLOOR.MATH((1-R26)*(O26-N26*T26)/S26)</f>
        <v>0</v>
      </c>
      <c r="V26" s="19" t="n">
        <f aca="false">(1-R26)*(O26-N26*T26)</f>
        <v>0</v>
      </c>
      <c r="W26" s="19" t="n">
        <f aca="false">IF(V26&gt;0,O26-V26,O26)</f>
        <v>81.0144017631599</v>
      </c>
    </row>
    <row r="27" customFormat="false" ht="15" hidden="false" customHeight="false" outlineLevel="0" collapsed="false">
      <c r="A27" s="26"/>
      <c r="B27" s="27" t="n">
        <v>7</v>
      </c>
      <c r="C27" s="27" t="n">
        <v>5832</v>
      </c>
      <c r="D27" s="27" t="n">
        <v>11664</v>
      </c>
      <c r="E27" s="27" t="n">
        <f aca="false">$N$3*POWER(C27+D27,$O$3)</f>
        <v>157.601832178176</v>
      </c>
      <c r="F27" s="27" t="n">
        <f aca="false">$E$3*POWER(C27,$F$3)</f>
        <v>2.67553853806793</v>
      </c>
      <c r="G27" s="27" t="n">
        <f aca="false">1/(1+EXP($B$3+$C$3*F27))</f>
        <v>0.0135906994370804</v>
      </c>
      <c r="H27" s="27" t="n">
        <f aca="false">1-G27</f>
        <v>0.98640930056292</v>
      </c>
      <c r="I27" s="20" t="n">
        <v>0</v>
      </c>
      <c r="J27" s="28" t="n">
        <f aca="false">$C$8*H27*E27</f>
        <v>207.259654026811</v>
      </c>
      <c r="K27" s="29" t="n">
        <f aca="false">$E$8*G27*E27*I27</f>
        <v>0</v>
      </c>
      <c r="L27" s="33" t="n">
        <f aca="false">$G$8*G27*E27*(1-I27)</f>
        <v>2.85561344738352</v>
      </c>
      <c r="M27" s="27" t="n">
        <f aca="false">(J27+K27+L27)-$L$3*POWER(C27+D27,$M$3)</f>
        <v>77.3090763813275</v>
      </c>
      <c r="N27" s="27" t="n">
        <f aca="false">IF(M27&gt;=0,(D27/C27)*P27*M27+C27,C27)</f>
        <v>5850.55069080165</v>
      </c>
      <c r="O27" s="30" t="n">
        <f aca="false">IF(M27&gt;=0,(1-(D27/C27)*P27)*M27+D27,D27+M27)</f>
        <v>11722.7583855797</v>
      </c>
      <c r="P27" s="19" t="n">
        <f aca="false">IF(C27&gt;=$H$2,$K$7,$J$7)</f>
        <v>0.119977444240483</v>
      </c>
      <c r="R27" s="19" t="n">
        <v>0</v>
      </c>
      <c r="S27" s="19" t="n">
        <v>114.6</v>
      </c>
      <c r="T27" s="19" t="n">
        <v>2</v>
      </c>
      <c r="U27" s="19" t="n">
        <f aca="false">_xlfn.FLOOR.MATH((1-R27)*(O27-N27*T27)/S27)</f>
        <v>0</v>
      </c>
      <c r="V27" s="19" t="n">
        <f aca="false">(1-R27)*(O27-N27*T27)</f>
        <v>21.6570039763847</v>
      </c>
      <c r="W27" s="19" t="n">
        <f aca="false">IF(V27&gt;0,O27-V27,O27)</f>
        <v>11701.1013816033</v>
      </c>
    </row>
    <row r="28" customFormat="false" ht="15" hidden="false" customHeight="false" outlineLevel="0" collapsed="false">
      <c r="A28" s="26"/>
      <c r="B28" s="27" t="n">
        <v>8</v>
      </c>
      <c r="C28" s="27" t="n">
        <v>9664</v>
      </c>
      <c r="D28" s="27" t="n">
        <v>19328</v>
      </c>
      <c r="E28" s="27" t="n">
        <f aca="false">$N$3*POWER(C28+D28,$O$3)</f>
        <v>214.033100142202</v>
      </c>
      <c r="F28" s="27" t="n">
        <f aca="false">$E$3*POWER(C28,$F$3)</f>
        <v>3.16077233032895</v>
      </c>
      <c r="G28" s="27" t="n">
        <f aca="false">1/(1+EXP($B$3+$C$3*F28))</f>
        <v>0.0140738412276639</v>
      </c>
      <c r="H28" s="27" t="n">
        <f aca="false">1-G28</f>
        <v>0.985926158772336</v>
      </c>
      <c r="I28" s="20" t="n">
        <v>0</v>
      </c>
      <c r="J28" s="28" t="n">
        <f aca="false">$C$8*H28*E28</f>
        <v>281.3336495074</v>
      </c>
      <c r="K28" s="29" t="n">
        <f aca="false">$E$8*G28*E28*I28</f>
        <v>0</v>
      </c>
      <c r="L28" s="33" t="n">
        <f aca="false">$G$8*G28*E28*(1-I28)</f>
        <v>4.015965171364</v>
      </c>
      <c r="M28" s="27" t="n">
        <f aca="false">(J28+K28+L28)-$L$3*POWER(C28+D28,$M$3)</f>
        <v>91.3848357833135</v>
      </c>
      <c r="N28" s="27" t="n">
        <f aca="false">IF(M28&gt;=0,(D28/C28)*P28*M28+C28,C28)</f>
        <v>9685.92823807924</v>
      </c>
      <c r="O28" s="30" t="n">
        <f aca="false">IF(M28&gt;=0,(1-(D28/C28)*P28)*M28+D28,D28+M28)</f>
        <v>19397.4565977041</v>
      </c>
      <c r="P28" s="19" t="n">
        <f aca="false">IF(C28&gt;=$I$2,$K$7,$J$7)</f>
        <v>0.119977444240483</v>
      </c>
      <c r="R28" s="19" t="n">
        <v>1</v>
      </c>
      <c r="S28" s="19" t="n">
        <v>114.6</v>
      </c>
      <c r="T28" s="19" t="n">
        <v>2</v>
      </c>
      <c r="U28" s="19" t="n">
        <f aca="false">_xlfn.FLOOR.MATH((1-R28)*(O28-N28*T28)/S28)</f>
        <v>0</v>
      </c>
      <c r="V28" s="19" t="n">
        <f aca="false">(1-R28)*(O28-N28*T28)</f>
        <v>0</v>
      </c>
      <c r="W28" s="19" t="n">
        <f aca="false">IF(V28&gt;0,O28-V28,O28)</f>
        <v>19397.4565977041</v>
      </c>
    </row>
    <row r="29" customFormat="false" ht="15" hidden="false" customHeight="false" outlineLevel="0" collapsed="false">
      <c r="A29" s="26"/>
      <c r="B29" s="27" t="n">
        <v>9</v>
      </c>
      <c r="C29" s="27" t="n">
        <v>5832</v>
      </c>
      <c r="D29" s="27" t="n">
        <v>16329</v>
      </c>
      <c r="E29" s="27" t="n">
        <f aca="false">$N$3*POWER(C29+D29,$O$3)</f>
        <v>181.872700651422</v>
      </c>
      <c r="F29" s="27" t="n">
        <f aca="false">$E$3*POWER(C29,$F$3)</f>
        <v>2.67553853806793</v>
      </c>
      <c r="G29" s="27" t="n">
        <f aca="false">1/(1+EXP($B$3+$C$3*F29))</f>
        <v>0.0135906994370804</v>
      </c>
      <c r="H29" s="27" t="n">
        <f aca="false">1-G29</f>
        <v>0.98640930056292</v>
      </c>
      <c r="I29" s="20" t="n">
        <v>0</v>
      </c>
      <c r="J29" s="28" t="n">
        <f aca="false">$C$8*H29*E29</f>
        <v>239.177885770514</v>
      </c>
      <c r="K29" s="29" t="n">
        <f aca="false">$E$8*G29*E29*I29</f>
        <v>0</v>
      </c>
      <c r="L29" s="33" t="n">
        <f aca="false">$G$8*G29*E29*(1-I29)</f>
        <v>3.29538129420349</v>
      </c>
      <c r="M29" s="27" t="n">
        <f aca="false">(J29+K29+L29)-$L$3*POWER(C29+D29,$M$3)</f>
        <v>83.9086587796702</v>
      </c>
      <c r="N29" s="27" t="n">
        <f aca="false">IF(M29&gt;=0,(D29/C29)*P29*M29+C29,C29)</f>
        <v>5860.18697428944</v>
      </c>
      <c r="O29" s="30" t="n">
        <f aca="false">IF(M29&gt;=0,(1-(D29/C29)*P29)*M29+D29,D29+M29)</f>
        <v>16384.7216844902</v>
      </c>
      <c r="P29" s="19" t="n">
        <f aca="false">IF(C29&gt;=$H$2,$K$7,$J$7)</f>
        <v>0.119977444240483</v>
      </c>
      <c r="R29" s="19" t="n">
        <v>0</v>
      </c>
      <c r="S29" s="19" t="n">
        <v>114.6</v>
      </c>
      <c r="T29" s="19" t="n">
        <v>2</v>
      </c>
      <c r="U29" s="19" t="n">
        <f aca="false">_xlfn.FLOOR.MATH((1-R29)*(O29-N29*T29)/S29)</f>
        <v>40</v>
      </c>
      <c r="V29" s="19" t="n">
        <f aca="false">(1-R29)*(O29-N29*T29)</f>
        <v>4664.34773591137</v>
      </c>
      <c r="W29" s="19" t="n">
        <f aca="false">IF(V29&gt;0,O29-V29,O29)</f>
        <v>11720.3739485789</v>
      </c>
    </row>
    <row r="30" customFormat="false" ht="15" hidden="false" customHeight="false" outlineLevel="0" collapsed="false">
      <c r="A30" s="26"/>
      <c r="B30" s="31" t="n">
        <v>10</v>
      </c>
      <c r="C30" s="27" t="n">
        <v>9664</v>
      </c>
      <c r="D30" s="27" t="n">
        <v>27059</v>
      </c>
      <c r="E30" s="27" t="n">
        <f aca="false">$N$3*POWER(C30+D30,$O$3)</f>
        <v>246.997687875141</v>
      </c>
      <c r="F30" s="27" t="n">
        <f aca="false">$E$3*POWER(C30,$F$3)</f>
        <v>3.16077233032895</v>
      </c>
      <c r="G30" s="27" t="n">
        <f aca="false">1/(1+EXP($B$3+$C$3*F30))</f>
        <v>0.0140738412276639</v>
      </c>
      <c r="H30" s="27" t="n">
        <f aca="false">1-G30</f>
        <v>0.985926158772336</v>
      </c>
      <c r="I30" s="20" t="n">
        <v>0</v>
      </c>
      <c r="J30" s="28" t="n">
        <f aca="false">$C$8*H30*E30</f>
        <v>324.663619335679</v>
      </c>
      <c r="K30" s="29" t="n">
        <f aca="false">$E$8*G30*E30*I30</f>
        <v>0</v>
      </c>
      <c r="L30" s="33" t="n">
        <f aca="false">$G$8*G30*E30*(1-I30)</f>
        <v>4.63448929747301</v>
      </c>
      <c r="M30" s="27" t="n">
        <f aca="false">(J30+K30+L30)-$L$3*POWER(C30+D30,$M$3)</f>
        <v>97.7091455640772</v>
      </c>
      <c r="N30" s="27" t="n">
        <f aca="false">IF(M30&gt;=0,(D30/C30)*P30*M30+C30,C30)</f>
        <v>9696.82385936881</v>
      </c>
      <c r="O30" s="30" t="n">
        <f aca="false">IF(M30&gt;=0,(1-(D30/C30)*P30)*M30+D30,D30+M30)</f>
        <v>27123.8852861953</v>
      </c>
      <c r="P30" s="19" t="n">
        <f aca="false">IF(C30&gt;=$I$2,$K$7,$J$7)</f>
        <v>0.119977444240483</v>
      </c>
      <c r="R30" s="19" t="n">
        <v>1</v>
      </c>
      <c r="S30" s="19" t="n">
        <v>114.6</v>
      </c>
      <c r="T30" s="19" t="n">
        <v>2</v>
      </c>
      <c r="U30" s="19" t="n">
        <f aca="false">_xlfn.FLOOR.MATH((1-R30)*(O30-N30*T30)/S30)</f>
        <v>0</v>
      </c>
      <c r="V30" s="19" t="n">
        <f aca="false">(1-R30)*(O30-N30*T30)</f>
        <v>0</v>
      </c>
      <c r="W30" s="19" t="n">
        <f aca="false">IF(V30&gt;0,O30-V30,O30)</f>
        <v>27123.8852861953</v>
      </c>
    </row>
  </sheetData>
  <mergeCells count="2">
    <mergeCell ref="A11:A20"/>
    <mergeCell ref="A21:A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2018-06-04T19:45:32Z</dcterms:created>
  <dc:creator>Ong, Virakbott</dc:creator>
  <dc:description/>
  <dc:language>en-US</dc:language>
  <cp:lastModifiedBy/>
  <dcterms:modified xsi:type="dcterms:W3CDTF">2020-03-13T12:57:37Z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